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G:\EDWI Reports\ADD's\2024 ADD\"/>
    </mc:Choice>
  </mc:AlternateContent>
  <xr:revisionPtr revIDLastSave="0" documentId="8_{FBC2CF38-A530-427D-ABBD-81C7C6385AB6}" xr6:coauthVersionLast="47" xr6:coauthVersionMax="47" xr10:uidLastSave="{00000000-0000-0000-0000-000000000000}"/>
  <bookViews>
    <workbookView xWindow="-120" yWindow="-120" windowWidth="29040" windowHeight="15720" tabRatio="456" activeTab="1" xr2:uid="{00000000-000D-0000-FFFF-FFFF00000000}"/>
  </bookViews>
  <sheets>
    <sheet name="Cover Sheet" sheetId="10" r:id="rId1"/>
    <sheet name="Overall" sheetId="1" r:id="rId2"/>
    <sheet name="Carryover (Reserves)" sheetId="9" r:id="rId3"/>
  </sheets>
  <definedNames>
    <definedName name="_xlnm.Print_Area" localSheetId="1">Overall!$A$1:$AV$37</definedName>
    <definedName name="_xlnm.Print_Titles" localSheetId="1">Overall!$A:$A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7" i="1" l="1"/>
  <c r="AM13" i="1" s="1"/>
  <c r="AM11" i="1"/>
  <c r="AM4" i="1"/>
  <c r="AL7" i="1"/>
  <c r="AL4" i="1" l="1"/>
  <c r="AB9" i="1"/>
  <c r="AB4" i="1"/>
  <c r="W6" i="1"/>
  <c r="W12" i="1" s="1"/>
  <c r="X6" i="1"/>
  <c r="X12" i="1" s="1"/>
  <c r="X10" i="1" l="1"/>
  <c r="X13" i="1"/>
  <c r="W13" i="1"/>
  <c r="W10" i="1"/>
  <c r="R33" i="1" l="1"/>
  <c r="K33" i="1" l="1"/>
  <c r="C9" i="9" l="1"/>
  <c r="AV9" i="1"/>
  <c r="AT4" i="1"/>
  <c r="AS9" i="1"/>
  <c r="AN4" i="1"/>
  <c r="AQ6" i="1"/>
  <c r="AQ13" i="1" s="1"/>
  <c r="AO4" i="1"/>
  <c r="AO6" i="1" s="1"/>
  <c r="AO13" i="1" s="1"/>
  <c r="AL6" i="1"/>
  <c r="AF7" i="1"/>
  <c r="AJ9" i="1"/>
  <c r="AJ7" i="1"/>
  <c r="AH7" i="1"/>
  <c r="AD4" i="1"/>
  <c r="AD9" i="1"/>
  <c r="AC9" i="1"/>
  <c r="AA4" i="1"/>
  <c r="Y4" i="1"/>
  <c r="AL13" i="1" l="1"/>
  <c r="AL8" i="1"/>
  <c r="R9" i="1"/>
  <c r="O11" i="1" l="1"/>
  <c r="O5" i="1"/>
  <c r="O4" i="1"/>
  <c r="N11" i="1"/>
  <c r="N5" i="1"/>
  <c r="N4" i="1"/>
  <c r="G5" i="1" l="1"/>
  <c r="E4" i="1" l="1"/>
  <c r="E9" i="1"/>
  <c r="E5" i="1"/>
  <c r="D9" i="1" l="1"/>
  <c r="D7" i="1" l="1"/>
  <c r="D5" i="1"/>
  <c r="B11" i="1" l="1"/>
  <c r="B7" i="1"/>
  <c r="B5" i="1"/>
  <c r="E34" i="1" l="1"/>
  <c r="E33" i="1"/>
  <c r="O6" i="1" l="1"/>
  <c r="O13" i="1" s="1"/>
  <c r="O8" i="1" l="1"/>
  <c r="O10" i="1"/>
  <c r="O12" i="1"/>
  <c r="S9" i="1" l="1"/>
  <c r="G11" i="1" l="1"/>
  <c r="G9" i="1"/>
  <c r="AB6" i="1" l="1"/>
  <c r="AB13" i="1" s="1"/>
  <c r="AB12" i="1" l="1"/>
  <c r="AB8" i="1"/>
  <c r="AK7" i="1"/>
  <c r="AU6" i="1"/>
  <c r="S6" i="1" l="1"/>
  <c r="S13" i="1" s="1"/>
  <c r="S8" i="1" l="1"/>
  <c r="S12" i="1"/>
  <c r="S10" i="1"/>
  <c r="C12" i="9" l="1"/>
  <c r="AV6" i="1" l="1"/>
  <c r="AV13" i="1" s="1"/>
  <c r="AU13" i="1"/>
  <c r="AU12" i="1"/>
  <c r="AU10" i="1"/>
  <c r="AU8" i="1"/>
  <c r="AT6" i="1"/>
  <c r="AN6" i="1"/>
  <c r="AN10" i="1" s="1"/>
  <c r="AP6" i="1"/>
  <c r="AP13" i="1" s="1"/>
  <c r="AF6" i="1"/>
  <c r="AH6" i="1"/>
  <c r="AK6" i="1"/>
  <c r="AK8" i="1" s="1"/>
  <c r="AJ6" i="1"/>
  <c r="AJ8" i="1" s="1"/>
  <c r="AI6" i="1"/>
  <c r="AI12" i="1" l="1"/>
  <c r="AI8" i="1"/>
  <c r="AL10" i="1"/>
  <c r="AV8" i="1"/>
  <c r="AT12" i="1"/>
  <c r="AT13" i="1"/>
  <c r="AT10" i="1"/>
  <c r="AT8" i="1"/>
  <c r="AN13" i="1"/>
  <c r="AV12" i="1"/>
  <c r="AV10" i="1"/>
  <c r="AP10" i="1"/>
  <c r="AH13" i="1"/>
  <c r="AK13" i="1"/>
  <c r="AH10" i="1"/>
  <c r="AK10" i="1"/>
  <c r="AJ10" i="1"/>
  <c r="AG6" i="1"/>
  <c r="AG8" i="1" s="1"/>
  <c r="AH12" i="1"/>
  <c r="AI13" i="1"/>
  <c r="AF12" i="1"/>
  <c r="AF13" i="1"/>
  <c r="AJ12" i="1"/>
  <c r="AJ13" i="1"/>
  <c r="AH8" i="1"/>
  <c r="AI10" i="1"/>
  <c r="AG13" i="1" l="1"/>
  <c r="AG12" i="1"/>
  <c r="AG10" i="1"/>
  <c r="Z13" i="1" l="1"/>
  <c r="U6" i="1" l="1"/>
  <c r="L6" i="1"/>
  <c r="L13" i="1" s="1"/>
  <c r="J6" i="1"/>
  <c r="J12" i="1" s="1"/>
  <c r="AA6" i="1"/>
  <c r="Z12" i="1"/>
  <c r="Z8" i="1"/>
  <c r="F6" i="1"/>
  <c r="B6" i="1"/>
  <c r="AR6" i="1"/>
  <c r="C6" i="1"/>
  <c r="D6" i="1"/>
  <c r="E6" i="1"/>
  <c r="G6" i="1"/>
  <c r="H6" i="1"/>
  <c r="I6" i="1"/>
  <c r="K6" i="1"/>
  <c r="M6" i="1"/>
  <c r="N6" i="1"/>
  <c r="N13" i="1" s="1"/>
  <c r="P6" i="1"/>
  <c r="Q6" i="1"/>
  <c r="R6" i="1"/>
  <c r="R13" i="1" s="1"/>
  <c r="T6" i="1"/>
  <c r="V6" i="1"/>
  <c r="V10" i="1" s="1"/>
  <c r="Y6" i="1"/>
  <c r="Y8" i="1" s="1"/>
  <c r="AC6" i="1"/>
  <c r="AC12" i="1" s="1"/>
  <c r="AD6" i="1"/>
  <c r="AD10" i="1" s="1"/>
  <c r="AE6" i="1"/>
  <c r="AE12" i="1" s="1"/>
  <c r="AS6" i="1"/>
  <c r="AS12" i="1" s="1"/>
  <c r="Y13" i="1" l="1"/>
  <c r="AC8" i="1"/>
  <c r="Y12" i="1"/>
  <c r="N8" i="1"/>
  <c r="J10" i="1"/>
  <c r="R10" i="1"/>
  <c r="R12" i="1"/>
  <c r="R8" i="1"/>
  <c r="I12" i="1"/>
  <c r="I13" i="1"/>
  <c r="AR13" i="1"/>
  <c r="V8" i="1"/>
  <c r="AR10" i="1"/>
  <c r="V12" i="1"/>
  <c r="U13" i="1"/>
  <c r="C13" i="1"/>
  <c r="AD13" i="1"/>
  <c r="AD8" i="1"/>
  <c r="P13" i="1"/>
  <c r="J8" i="1"/>
  <c r="AR8" i="1"/>
  <c r="AR12" i="1"/>
  <c r="M8" i="1"/>
  <c r="P8" i="1"/>
  <c r="AS13" i="1"/>
  <c r="AS8" i="1"/>
  <c r="AS10" i="1"/>
  <c r="AD12" i="1"/>
  <c r="Y10" i="1"/>
  <c r="AA12" i="1"/>
  <c r="AA13" i="1"/>
  <c r="AA10" i="1"/>
  <c r="AA8" i="1"/>
  <c r="P10" i="1"/>
  <c r="H8" i="1"/>
  <c r="P12" i="1"/>
  <c r="Z10" i="1"/>
  <c r="F12" i="1"/>
  <c r="AC13" i="1"/>
  <c r="Q13" i="1"/>
  <c r="Q10" i="1"/>
  <c r="Q12" i="1"/>
  <c r="Q8" i="1"/>
  <c r="C8" i="1"/>
  <c r="C10" i="1"/>
  <c r="C12" i="1"/>
  <c r="V13" i="1"/>
  <c r="N10" i="1"/>
  <c r="L10" i="1"/>
  <c r="L12" i="1"/>
  <c r="J13" i="1"/>
  <c r="I8" i="1"/>
  <c r="I10" i="1"/>
  <c r="E13" i="1"/>
  <c r="T8" i="1"/>
  <c r="AE13" i="1"/>
  <c r="B13" i="1"/>
  <c r="AE8" i="1"/>
  <c r="L8" i="1"/>
  <c r="AE10" i="1"/>
  <c r="T10" i="1"/>
  <c r="AC10" i="1"/>
  <c r="T12" i="1"/>
  <c r="M12" i="1"/>
  <c r="M10" i="1"/>
  <c r="M13" i="1"/>
  <c r="T13" i="1"/>
  <c r="F8" i="1"/>
  <c r="H10" i="1"/>
  <c r="H13" i="1"/>
  <c r="H12" i="1"/>
  <c r="B12" i="1"/>
  <c r="B8" i="1"/>
  <c r="E12" i="1"/>
  <c r="N12" i="1"/>
  <c r="F10" i="1"/>
  <c r="F13" i="1"/>
  <c r="E8" i="1"/>
  <c r="E10" i="1"/>
  <c r="K12" i="1"/>
  <c r="K10" i="1"/>
  <c r="K8" i="1"/>
  <c r="K13" i="1"/>
  <c r="G10" i="1"/>
  <c r="G12" i="1"/>
  <c r="G8" i="1"/>
  <c r="G13" i="1"/>
  <c r="D12" i="1"/>
  <c r="D8" i="1"/>
  <c r="D13" i="1"/>
  <c r="D10" i="1"/>
  <c r="B10" i="1"/>
</calcChain>
</file>

<file path=xl/sharedStrings.xml><?xml version="1.0" encoding="utf-8"?>
<sst xmlns="http://schemas.openxmlformats.org/spreadsheetml/2006/main" count="356" uniqueCount="194">
  <si>
    <t>Area Agency on Aging and Independent Living</t>
  </si>
  <si>
    <t>Community &amp; Economic Development</t>
  </si>
  <si>
    <t>Department for Community Based Services</t>
  </si>
  <si>
    <t>Other programs</t>
  </si>
  <si>
    <t>Title III B</t>
  </si>
  <si>
    <t>Title III B Omb</t>
  </si>
  <si>
    <t>Title III C1</t>
  </si>
  <si>
    <t>Title III C2</t>
  </si>
  <si>
    <t>Title III D</t>
  </si>
  <si>
    <t>Title III E</t>
  </si>
  <si>
    <t>Title VII Elder Abuse</t>
  </si>
  <si>
    <t>Title VII Ombudsman</t>
  </si>
  <si>
    <t>NSIP 10/1 to 6/30</t>
  </si>
  <si>
    <t>State Long Term Care Ombudsman</t>
  </si>
  <si>
    <t>Homecare</t>
  </si>
  <si>
    <t>SHIP</t>
  </si>
  <si>
    <t>Joint Funding Administration  - EDA</t>
  </si>
  <si>
    <t>Joint Funding Administration - CDBG</t>
  </si>
  <si>
    <t>Appalachian Regional Commission</t>
  </si>
  <si>
    <t>Local Road Updates</t>
  </si>
  <si>
    <t>Regional Transportation</t>
  </si>
  <si>
    <t>Water Management Resources</t>
  </si>
  <si>
    <t>AML eKAMI prison</t>
  </si>
  <si>
    <t>AML Royalton Trail Town</t>
  </si>
  <si>
    <t>AML Martin County Raw Water</t>
  </si>
  <si>
    <t>USCOE Martin County Raw Water</t>
  </si>
  <si>
    <t>AML Martin County Systems Improvement</t>
  </si>
  <si>
    <t>AML Paintsville/Johnson Sewer</t>
  </si>
  <si>
    <t>Project department</t>
  </si>
  <si>
    <t>Kentucky Works</t>
  </si>
  <si>
    <t>Community Collaboration for Children</t>
  </si>
  <si>
    <t>PDS</t>
  </si>
  <si>
    <t>UMWA</t>
  </si>
  <si>
    <t>Local Initatives</t>
  </si>
  <si>
    <t>Grant Award</t>
  </si>
  <si>
    <t>Local Funds (Match or applied)</t>
  </si>
  <si>
    <t>Total Grant Funds</t>
  </si>
  <si>
    <t>Administrative Costs</t>
  </si>
  <si>
    <t>% of Admin Cost</t>
  </si>
  <si>
    <t>Direct Expenditures</t>
  </si>
  <si>
    <t>% of Direct Expenditures</t>
  </si>
  <si>
    <t>Indirect Expenditures</t>
  </si>
  <si>
    <t>% of Indirect Expenditures</t>
  </si>
  <si>
    <t>Unexpended Funds</t>
  </si>
  <si>
    <t>Explanation of Unexpended Funds</t>
  </si>
  <si>
    <t>n/a</t>
  </si>
  <si>
    <t>runs on federal fiscal year</t>
  </si>
  <si>
    <t>small amount remaining</t>
  </si>
  <si>
    <t>Multi year obligation</t>
  </si>
  <si>
    <t>List of Direct Services provided by ADD</t>
  </si>
  <si>
    <t>Services provided to residents of long term care facilities to assist them to maintain health, safety and welfare.  Complaint investigation and resolution; work with family and resident councils; provide training to resident and facility staff; provide public education and outreach to identify and prevent elder abuse, neglect and exploitation</t>
  </si>
  <si>
    <t xml:space="preserve">Services for caregivers and grandparents raising grandchildren - Information, Access, Support Groups, Training, Respite, Supplemental Services </t>
  </si>
  <si>
    <t>provides intake and referral. People of all ages, incomes and disabilities can access
information on the full range of long-term support options.</t>
  </si>
  <si>
    <t>Assessment/Reassessment,Case Management, Homemaking, Personal Care, Respite, Chore, Escort</t>
  </si>
  <si>
    <t>program to provide information and assistance to elderly and disabled Kentuckians in reference to Medicare benefits, health and prescription drug insurance options, and other issues pertaining to public benefits</t>
  </si>
  <si>
    <t>provides enhanced outreach to eligible Medicare beneficiaries regarding their benefits and enhanced outreach to individuals who may be eligible for the LIS and Medicare Part D</t>
  </si>
  <si>
    <t>AAA provide enhanced outreach to eligible Mediare beneficiaries regarding their benefits and enhanced outreach to individuals who may be eligible for LIS; MSP; and Medicare Part D</t>
  </si>
  <si>
    <t>program to provide outreach to individuals regarding the benefits available under Medicare Part D and MSP outreach and Outreach activities aimed at prevening disease and promoting wellness</t>
  </si>
  <si>
    <t>Submission of ED related grants submitted, Develop and implement Comprehensive Economic Development Strategy, advise DLG/ED cabinet of job creation/investment, provide assistance to regional industrial authority, technical assistance to entities and projects</t>
  </si>
  <si>
    <t>Implementing the KY CDBG program by providing technical assistance to local governments, administration of projects</t>
  </si>
  <si>
    <t>community project grant applications submitted, technical assistance for  projects, management assistance for projects. Implement and maintain a program focused on investment providing basic community services, upgrading quality of life, spur economic development and  improve economic viability of region</t>
  </si>
  <si>
    <t>Maintain and collection road centerline data for region</t>
  </si>
  <si>
    <t>Operate KYTC regional transportation planning program, coordinate regional transportation committee</t>
  </si>
  <si>
    <t>Provide wastewater planner for region, coordinate regional water management council, maintain water resource information system</t>
  </si>
  <si>
    <t>Project administration for eKAMI prison reform project in West Liberty, KY</t>
  </si>
  <si>
    <t>Project administration for Royalton Trail Town project in Royalton, KY</t>
  </si>
  <si>
    <t>Project administration for Martin Co Water Raw Water intake project</t>
  </si>
  <si>
    <t>Project administration for Martin Co Raw Water intake project</t>
  </si>
  <si>
    <t>Project administration for Martin Co Water Systems Improvement project</t>
  </si>
  <si>
    <t>Project administration for Paintsville Utilities sewer expansion project</t>
  </si>
  <si>
    <t>Administration for various projects for local governments in BSADD region</t>
  </si>
  <si>
    <t>Job development, placement &amp; training, preemployment counseling &amp; supportive services, wage subsidy for employers, employment retention, marketing assistance programs, job readiness training</t>
  </si>
  <si>
    <t>program to support community based efforts, develop, operate, expand and enhance initiatives aimed at the prevention of child abuse and/or neglect.</t>
  </si>
  <si>
    <t>Operate Medicaid Waiver program for Big Sandy region</t>
  </si>
  <si>
    <t>In home case management services for UMWA retirees</t>
  </si>
  <si>
    <t>Direct Service Providers/Contractors Contracted by ADD and services provided</t>
  </si>
  <si>
    <t>Floyd County SCC, Johnson Co. SCC, Magoffin County SCC, Martin County SCC, Pike County SCC - Education, Health Promotion, Information and Assistance, Outreach, Recreation, Telephone Reassurance, Transportation Appalachian Research &amp; Defense Fund- Legal Services</t>
  </si>
  <si>
    <t>Floyd County SCC, Johnson Co. SCC, Magoffin County SCC, Martin County SCC, Pike County SCC - congreagate meals, nutrition counseling, nutrition education</t>
  </si>
  <si>
    <t>Floyd County SCC, Johnson Co. SCC, Magoffin County SCC, Martin County SCC, Pike County SCC - Home Delivered Meals, nutrition counseling, nutrition education</t>
  </si>
  <si>
    <t>Floyd County SCC, Johnson Co. SCC, Magoffin County SCC, Martin County SCC, Pike County SCC - Arthritis Exercise, Bingocize, Matter of Balance, Silver Sneakers, Walk with Ease - self led</t>
  </si>
  <si>
    <t>Floyd County SCC, Johnson Co. SCC, Magoffin County SCC, Martin County SCC, Pike County SCC - congreagate meals, home delivered meals</t>
  </si>
  <si>
    <t>Kentucky Educational Development Corp - short term job training</t>
  </si>
  <si>
    <t>Floyd County SCC, Johnson Co. SCC, Magoffin County SCC, Martin County SCC, Pike County SCC - Education, Health Promotion, Information and Assistance, Outreach, Recreation, Telephone Reassurance, Transportation</t>
  </si>
  <si>
    <t>Bell Engineering - Engineering services</t>
  </si>
  <si>
    <t>Career Center Operators</t>
  </si>
  <si>
    <t>BSADD</t>
  </si>
  <si>
    <t>Training Service Providers and services provided</t>
  </si>
  <si>
    <t>BSADD operates one career type training center In Carter Co which provides: job readiness classes, job development, job placement, employment counseling, short term job training, pre employment supportive services, adult education, marketing of services available, wage subsidy</t>
  </si>
  <si>
    <t>Eligible Persons</t>
  </si>
  <si>
    <t>Program serves entire BSADD Region</t>
  </si>
  <si>
    <t>Program serves entire BSADD region</t>
  </si>
  <si>
    <t>Program serves entire Martin County area</t>
  </si>
  <si>
    <t>Program serves entire Johnson County area</t>
  </si>
  <si>
    <t># Persons Served</t>
  </si>
  <si>
    <t># People on Waiting List</t>
  </si>
  <si>
    <t>Performance Measures</t>
  </si>
  <si>
    <t>Medicaid regulations</t>
  </si>
  <si>
    <t>Title IIIB Omb</t>
  </si>
  <si>
    <t>Title III Long Term Care Ombudsman</t>
  </si>
  <si>
    <t>Congregate Meals</t>
  </si>
  <si>
    <t>Home Delivered Meals</t>
  </si>
  <si>
    <t>Disease Prevention</t>
  </si>
  <si>
    <t>Family Caregiver Program</t>
  </si>
  <si>
    <t>NSIP</t>
  </si>
  <si>
    <t>Nutrition Services Incentive Program</t>
  </si>
  <si>
    <t>State Health Insurance Assistance Program</t>
  </si>
  <si>
    <t>MIPPA SHIP</t>
  </si>
  <si>
    <t>Medicare Improvements for Patients and Providers Act State Health Insurance Assistance Program</t>
  </si>
  <si>
    <t>MIPPA AAA</t>
  </si>
  <si>
    <t>Medicare Improvements for Patients and Providers Act State Agencies on Aging</t>
  </si>
  <si>
    <t>MIPPA ADRC</t>
  </si>
  <si>
    <t>Medicare Improvements for Patients and Providers Act Aging and Disability Resource Center</t>
  </si>
  <si>
    <t>JFA - EDA</t>
  </si>
  <si>
    <t>Joint Funding Administration - Economic Development Administration</t>
  </si>
  <si>
    <t>JFA - CDBG</t>
  </si>
  <si>
    <t>Joint Funding Administration - Community Development Block Grants</t>
  </si>
  <si>
    <t>JFA - ARC</t>
  </si>
  <si>
    <t>Joint Funding Administration - Appalachian Regional Commission</t>
  </si>
  <si>
    <t>AML</t>
  </si>
  <si>
    <t>Abandoned Mine Lands</t>
  </si>
  <si>
    <t>USCOE</t>
  </si>
  <si>
    <t>US Army Corps of Engineers</t>
  </si>
  <si>
    <t>eKAMI</t>
  </si>
  <si>
    <t>East Kentucky Advanced Manufacturing Institute</t>
  </si>
  <si>
    <t xml:space="preserve">PDS </t>
  </si>
  <si>
    <t>Participant Directed Options</t>
  </si>
  <si>
    <t>United Mine Workers Association Health &amp; Retirement Funds</t>
  </si>
  <si>
    <t>Big Sandy Area Development District</t>
  </si>
  <si>
    <t>Source of Funds:</t>
  </si>
  <si>
    <t>Amount</t>
  </si>
  <si>
    <t>Explanation as to why funds are being carried forward:</t>
  </si>
  <si>
    <t>DAIL contracts</t>
  </si>
  <si>
    <t>Surplus from Performance Based Contracts</t>
  </si>
  <si>
    <t>BSRIDA</t>
  </si>
  <si>
    <t>Big Sandy Regional Industrial Development Authority</t>
  </si>
  <si>
    <t>multi year ARPA funds</t>
  </si>
  <si>
    <t>unexpended carried over from previous year which must be spent first. Multi year ARPA funds</t>
  </si>
  <si>
    <t>MIPPA SHIP 9/1-6/30</t>
  </si>
  <si>
    <t>per request - does not include pension liability adjustment shown in audit financials</t>
  </si>
  <si>
    <t>unexpended funds carried over from previous year which must be spent first, multi year ARPA funds</t>
  </si>
  <si>
    <t>JFA admin</t>
  </si>
  <si>
    <t>complete elements 140 &amp; 150 of the JFA handbook for DLG</t>
  </si>
  <si>
    <t>matching requirement led to leaving some funds undrawn</t>
  </si>
  <si>
    <t>Owed back to DAIL, overbilled due to matching requirement</t>
  </si>
  <si>
    <t>unexpended carried over from previous year which must be spent first. Also staff vacancy part of year</t>
  </si>
  <si>
    <t>NSIP 7/1 to 9/30/23</t>
  </si>
  <si>
    <t>MIPPA SHIP 7/1 to 8/31/23</t>
  </si>
  <si>
    <t>MIPPA AAA 7/1 to 8/31/23</t>
  </si>
  <si>
    <t>MIPPA ADRC 7/1 to 8/30/23</t>
  </si>
  <si>
    <t>MIPPA AAA 9/1-6/30</t>
  </si>
  <si>
    <t>MIPPA ADRC 9/1-6/30</t>
  </si>
  <si>
    <t>.</t>
  </si>
  <si>
    <t>KYCG</t>
  </si>
  <si>
    <t>Assistance, information, supplemental services to grandparent caregivers of children</t>
  </si>
  <si>
    <t>Financial data taken from BSADD FY 2024 audit report, pension adjustment and local funding not handled by the ADD not included per request</t>
  </si>
  <si>
    <t>ARC federal funds based on calendar year, unspent carries to next FY</t>
  </si>
  <si>
    <t>ARC READY</t>
  </si>
  <si>
    <t>BEAD</t>
  </si>
  <si>
    <t>fee for service contract</t>
  </si>
  <si>
    <t>BRIC</t>
  </si>
  <si>
    <t>PDS is a fee for service program, excess income used to improve financial stability of the ADD and expand services</t>
  </si>
  <si>
    <t>Vaccine Grant</t>
  </si>
  <si>
    <t>INNU</t>
  </si>
  <si>
    <t>Total amount of Reserves for FY 2024</t>
  </si>
  <si>
    <t>ARPA multi year funds, also carryover from prior year which must be spent first</t>
  </si>
  <si>
    <t>took time to add temporary staff for new program</t>
  </si>
  <si>
    <t>program to promote vaccine awareness within the elderly population of our region</t>
  </si>
  <si>
    <t>Program to provide ASIST training to staff and community</t>
  </si>
  <si>
    <t>unspent funds transfer to ADF for betterment of region</t>
  </si>
  <si>
    <t>Assist ODB and local governments with the Broadband challenge process</t>
  </si>
  <si>
    <t>Identify criticial facility energy needs and infrastructure for OEP</t>
  </si>
  <si>
    <t>Assist local governments in applying for federal grants</t>
  </si>
  <si>
    <t>Aging/Disability Resource Center</t>
  </si>
  <si>
    <t>Runs on 9/1-8/31 fiscal year</t>
  </si>
  <si>
    <t>staffing vacancies</t>
  </si>
  <si>
    <t>cost reimbursement contract, funds exceed cost to provide</t>
  </si>
  <si>
    <t>BSRIDA AML/ARC</t>
  </si>
  <si>
    <t>Other AML</t>
  </si>
  <si>
    <t>Project administration for various AML grants</t>
  </si>
  <si>
    <t>Project administration for Big Sandy Regional Industrial Authority</t>
  </si>
  <si>
    <t>Bell Engineering - Engineering Services PACE Contracting - Construction services</t>
  </si>
  <si>
    <t>Pace Contracting - Construction Services</t>
  </si>
  <si>
    <t>As listed in MOA/Contract</t>
  </si>
  <si>
    <t>Building Resiliant Infrastructure and Communities</t>
  </si>
  <si>
    <t>Broadband Equity Access and Deployment Program</t>
  </si>
  <si>
    <t>Innovations in Nutrition</t>
  </si>
  <si>
    <t>Kentucky Caregiver Program</t>
  </si>
  <si>
    <t>Supportive Services</t>
  </si>
  <si>
    <t>Title III C2/ESMP</t>
  </si>
  <si>
    <t>ESMP</t>
  </si>
  <si>
    <t>Expanded Senior Meal Program</t>
  </si>
  <si>
    <t>Performance based contracts are fee for service and any funds not utilized are carried forward for future services and for financial stability</t>
  </si>
  <si>
    <t>modernization of KTAP and KWP that substantially increased KTAP benefits, supportive service amounts, RAP, and WIN payments. Also some staff vacancies</t>
  </si>
  <si>
    <t>ADRC for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</si>
</sst>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/>
    <xf numFmtId="9" fontId="0" fillId="0" borderId="1" xfId="2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5" xfId="0" applyBorder="1"/>
    <xf numFmtId="9" fontId="0" fillId="0" borderId="1" xfId="2" applyFont="1" applyBorder="1" applyAlignment="1">
      <alignment wrapText="1"/>
    </xf>
    <xf numFmtId="44" fontId="0" fillId="0" borderId="1" xfId="1" applyFont="1" applyBorder="1" applyAlignment="1">
      <alignment horizontal="left" wrapText="1"/>
    </xf>
    <xf numFmtId="44" fontId="0" fillId="0" borderId="1" xfId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2" borderId="8" xfId="0" applyFill="1" applyBorder="1"/>
    <xf numFmtId="0" fontId="0" fillId="2" borderId="9" xfId="0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4" xfId="0" applyBorder="1"/>
    <xf numFmtId="44" fontId="0" fillId="0" borderId="1" xfId="1" quotePrefix="1" applyFont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4" fontId="0" fillId="0" borderId="1" xfId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164" fontId="0" fillId="0" borderId="1" xfId="1" applyNumberFormat="1" applyFont="1" applyBorder="1"/>
    <xf numFmtId="164" fontId="0" fillId="0" borderId="1" xfId="2" applyNumberFormat="1" applyFont="1" applyBorder="1"/>
    <xf numFmtId="44" fontId="0" fillId="0" borderId="1" xfId="1" applyFont="1" applyFill="1" applyBorder="1"/>
    <xf numFmtId="9" fontId="0" fillId="0" borderId="1" xfId="2" applyFont="1" applyFill="1" applyBorder="1"/>
    <xf numFmtId="0" fontId="0" fillId="5" borderId="0" xfId="0" applyFill="1"/>
    <xf numFmtId="0" fontId="0" fillId="5" borderId="5" xfId="0" applyFill="1" applyBorder="1" applyAlignment="1">
      <alignment horizont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10" xfId="0" applyFill="1" applyBorder="1"/>
    <xf numFmtId="0" fontId="0" fillId="5" borderId="11" xfId="0" applyFill="1" applyBorder="1"/>
    <xf numFmtId="0" fontId="0" fillId="5" borderId="13" xfId="0" applyFill="1" applyBorder="1"/>
    <xf numFmtId="0" fontId="5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6" xfId="0" applyFont="1" applyBorder="1"/>
    <xf numFmtId="8" fontId="5" fillId="0" borderId="6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/>
    <xf numFmtId="0" fontId="5" fillId="0" borderId="5" xfId="0" applyFont="1" applyBorder="1"/>
    <xf numFmtId="8" fontId="5" fillId="0" borderId="1" xfId="0" applyNumberFormat="1" applyFont="1" applyBorder="1"/>
    <xf numFmtId="8" fontId="5" fillId="0" borderId="2" xfId="0" applyNumberFormat="1" applyFont="1" applyBorder="1"/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8" fontId="5" fillId="0" borderId="3" xfId="0" applyNumberFormat="1" applyFont="1" applyBorder="1"/>
    <xf numFmtId="8" fontId="5" fillId="0" borderId="5" xfId="0" applyNumberFormat="1" applyFont="1" applyBorder="1"/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Fill="1" applyBorder="1"/>
    <xf numFmtId="0" fontId="0" fillId="0" borderId="1" xfId="2" applyNumberFormat="1" applyFont="1" applyFill="1" applyBorder="1"/>
    <xf numFmtId="164" fontId="0" fillId="0" borderId="1" xfId="2" applyNumberFormat="1" applyFont="1" applyFill="1" applyBorder="1"/>
    <xf numFmtId="0" fontId="0" fillId="0" borderId="1" xfId="1" applyNumberFormat="1" applyFont="1" applyFill="1" applyBorder="1"/>
    <xf numFmtId="44" fontId="1" fillId="0" borderId="1" xfId="1" applyFont="1" applyFill="1" applyBorder="1"/>
    <xf numFmtId="9" fontId="1" fillId="0" borderId="1" xfId="2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1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5F27-E385-4BC1-801D-FCA1A24D66EF}">
  <dimension ref="A1:H27"/>
  <sheetViews>
    <sheetView workbookViewId="0">
      <selection activeCell="A8" sqref="A8"/>
    </sheetView>
  </sheetViews>
  <sheetFormatPr defaultRowHeight="15" x14ac:dyDescent="0.25"/>
  <cols>
    <col min="1" max="1" width="14.7109375" customWidth="1"/>
  </cols>
  <sheetData>
    <row r="1" spans="1:8" x14ac:dyDescent="0.25">
      <c r="A1" s="49" t="s">
        <v>154</v>
      </c>
      <c r="B1" s="48"/>
      <c r="C1" s="48"/>
      <c r="D1" s="48"/>
      <c r="E1" s="48"/>
      <c r="F1" s="48"/>
      <c r="G1" s="48"/>
      <c r="H1" s="48"/>
    </row>
    <row r="2" spans="1:8" x14ac:dyDescent="0.25">
      <c r="A2" s="48"/>
      <c r="B2" s="48"/>
      <c r="C2" s="48"/>
      <c r="D2" s="48"/>
      <c r="E2" s="48"/>
      <c r="F2" s="48"/>
      <c r="G2" s="48"/>
      <c r="H2" s="48"/>
    </row>
    <row r="3" spans="1:8" x14ac:dyDescent="0.25">
      <c r="A3" s="48" t="s">
        <v>4</v>
      </c>
      <c r="B3" s="48" t="s">
        <v>187</v>
      </c>
      <c r="C3" s="48"/>
      <c r="D3" s="48"/>
      <c r="E3" s="48"/>
      <c r="F3" s="48"/>
      <c r="G3" s="48"/>
      <c r="H3" s="48"/>
    </row>
    <row r="4" spans="1:8" x14ac:dyDescent="0.25">
      <c r="A4" s="48" t="s">
        <v>97</v>
      </c>
      <c r="B4" s="48" t="s">
        <v>98</v>
      </c>
      <c r="C4" s="48"/>
      <c r="D4" s="48"/>
      <c r="E4" s="48"/>
      <c r="F4" s="48"/>
      <c r="G4" s="48"/>
      <c r="H4" s="48"/>
    </row>
    <row r="5" spans="1:8" x14ac:dyDescent="0.25">
      <c r="A5" s="48" t="s">
        <v>6</v>
      </c>
      <c r="B5" s="48" t="s">
        <v>99</v>
      </c>
      <c r="C5" s="48"/>
      <c r="D5" s="48"/>
      <c r="E5" s="48"/>
      <c r="F5" s="48"/>
      <c r="G5" s="48"/>
      <c r="H5" s="48"/>
    </row>
    <row r="6" spans="1:8" x14ac:dyDescent="0.25">
      <c r="A6" s="48" t="s">
        <v>7</v>
      </c>
      <c r="B6" s="48" t="s">
        <v>100</v>
      </c>
      <c r="C6" s="48"/>
      <c r="D6" s="48"/>
      <c r="E6" s="48"/>
      <c r="F6" s="48"/>
      <c r="G6" s="48"/>
      <c r="H6" s="48"/>
    </row>
    <row r="7" spans="1:8" x14ac:dyDescent="0.25">
      <c r="A7" s="48" t="s">
        <v>189</v>
      </c>
      <c r="B7" s="48" t="s">
        <v>190</v>
      </c>
      <c r="C7" s="48"/>
      <c r="D7" s="48"/>
      <c r="E7" s="48"/>
      <c r="F7" s="48"/>
      <c r="G7" s="48"/>
      <c r="H7" s="48"/>
    </row>
    <row r="8" spans="1:8" x14ac:dyDescent="0.25">
      <c r="A8" s="48" t="s">
        <v>8</v>
      </c>
      <c r="B8" s="48" t="s">
        <v>101</v>
      </c>
      <c r="C8" s="48"/>
      <c r="D8" s="48"/>
      <c r="E8" s="48"/>
      <c r="F8" s="48"/>
      <c r="G8" s="48"/>
      <c r="H8" s="48"/>
    </row>
    <row r="9" spans="1:8" x14ac:dyDescent="0.25">
      <c r="A9" s="48" t="s">
        <v>9</v>
      </c>
      <c r="B9" s="48" t="s">
        <v>102</v>
      </c>
      <c r="C9" s="48"/>
      <c r="D9" s="48"/>
      <c r="E9" s="48"/>
      <c r="F9" s="48"/>
      <c r="G9" s="48"/>
      <c r="H9" s="48"/>
    </row>
    <row r="10" spans="1:8" x14ac:dyDescent="0.25">
      <c r="A10" s="48" t="s">
        <v>152</v>
      </c>
      <c r="B10" s="48" t="s">
        <v>186</v>
      </c>
      <c r="C10" s="48"/>
      <c r="D10" s="48"/>
      <c r="E10" s="48"/>
      <c r="F10" s="48"/>
      <c r="G10" s="48"/>
      <c r="H10" s="48"/>
    </row>
    <row r="11" spans="1:8" x14ac:dyDescent="0.25">
      <c r="A11" s="48" t="s">
        <v>103</v>
      </c>
      <c r="B11" s="48" t="s">
        <v>104</v>
      </c>
      <c r="C11" s="48"/>
      <c r="D11" s="48"/>
      <c r="E11" s="48"/>
      <c r="F11" s="48"/>
      <c r="G11" s="48"/>
      <c r="H11" s="48"/>
    </row>
    <row r="12" spans="1:8" x14ac:dyDescent="0.25">
      <c r="A12" s="48" t="s">
        <v>15</v>
      </c>
      <c r="B12" s="48" t="s">
        <v>105</v>
      </c>
      <c r="C12" s="48"/>
      <c r="D12" s="48"/>
      <c r="E12" s="48"/>
      <c r="F12" s="48"/>
      <c r="G12" s="48"/>
      <c r="H12" s="48"/>
    </row>
    <row r="13" spans="1:8" x14ac:dyDescent="0.25">
      <c r="A13" s="48" t="s">
        <v>106</v>
      </c>
      <c r="B13" s="48" t="s">
        <v>107</v>
      </c>
      <c r="C13" s="48"/>
      <c r="D13" s="48"/>
      <c r="E13" s="48"/>
      <c r="F13" s="48"/>
      <c r="G13" s="48"/>
      <c r="H13" s="48"/>
    </row>
    <row r="14" spans="1:8" x14ac:dyDescent="0.25">
      <c r="A14" s="48" t="s">
        <v>108</v>
      </c>
      <c r="B14" s="48" t="s">
        <v>109</v>
      </c>
      <c r="C14" s="48"/>
      <c r="D14" s="48"/>
      <c r="E14" s="48"/>
      <c r="F14" s="48"/>
      <c r="G14" s="48"/>
      <c r="H14" s="48"/>
    </row>
    <row r="15" spans="1:8" x14ac:dyDescent="0.25">
      <c r="A15" s="48" t="s">
        <v>110</v>
      </c>
      <c r="B15" s="48" t="s">
        <v>111</v>
      </c>
      <c r="C15" s="48"/>
      <c r="D15" s="48"/>
      <c r="E15" s="48"/>
      <c r="F15" s="48"/>
      <c r="G15" s="48"/>
      <c r="H15" s="48"/>
    </row>
    <row r="16" spans="1:8" x14ac:dyDescent="0.25">
      <c r="A16" s="48" t="s">
        <v>162</v>
      </c>
      <c r="B16" s="48" t="s">
        <v>185</v>
      </c>
      <c r="E16" s="48"/>
      <c r="F16" s="48"/>
      <c r="G16" s="48"/>
      <c r="H16" s="48"/>
    </row>
    <row r="17" spans="1:8" x14ac:dyDescent="0.25">
      <c r="A17" s="48" t="s">
        <v>112</v>
      </c>
      <c r="B17" s="48" t="s">
        <v>113</v>
      </c>
      <c r="C17" s="48"/>
      <c r="D17" s="48"/>
      <c r="E17" s="48"/>
      <c r="F17" s="48"/>
      <c r="G17" s="48"/>
      <c r="H17" s="48"/>
    </row>
    <row r="18" spans="1:8" x14ac:dyDescent="0.25">
      <c r="A18" s="48" t="s">
        <v>114</v>
      </c>
      <c r="B18" s="48" t="s">
        <v>115</v>
      </c>
      <c r="C18" s="48"/>
      <c r="D18" s="48"/>
      <c r="E18" s="48"/>
      <c r="F18" s="48"/>
      <c r="G18" s="48"/>
      <c r="H18" s="48"/>
    </row>
    <row r="19" spans="1:8" x14ac:dyDescent="0.25">
      <c r="A19" s="48" t="s">
        <v>116</v>
      </c>
      <c r="B19" s="48" t="s">
        <v>117</v>
      </c>
      <c r="C19" s="48"/>
      <c r="D19" s="48"/>
      <c r="E19" s="48"/>
      <c r="F19" s="48"/>
      <c r="G19" s="48"/>
      <c r="H19" s="48"/>
    </row>
    <row r="20" spans="1:8" x14ac:dyDescent="0.25">
      <c r="A20" s="48" t="s">
        <v>118</v>
      </c>
      <c r="B20" s="48" t="s">
        <v>119</v>
      </c>
      <c r="C20" s="48"/>
      <c r="D20" s="48"/>
      <c r="E20" s="48"/>
      <c r="F20" s="48"/>
      <c r="G20" s="48"/>
      <c r="H20" s="48"/>
    </row>
    <row r="21" spans="1:8" x14ac:dyDescent="0.25">
      <c r="A21" s="48" t="s">
        <v>120</v>
      </c>
      <c r="B21" s="48" t="s">
        <v>121</v>
      </c>
      <c r="C21" s="48"/>
      <c r="D21" s="48"/>
      <c r="E21" s="48"/>
      <c r="F21" s="48"/>
      <c r="G21" s="48"/>
      <c r="H21" s="48"/>
    </row>
    <row r="22" spans="1:8" x14ac:dyDescent="0.25">
      <c r="A22" s="48" t="s">
        <v>122</v>
      </c>
      <c r="B22" s="48" t="s">
        <v>123</v>
      </c>
      <c r="C22" s="48"/>
      <c r="D22" s="48"/>
      <c r="E22" s="48"/>
      <c r="F22" s="48"/>
      <c r="G22" s="48"/>
      <c r="H22" s="48"/>
    </row>
    <row r="23" spans="1:8" x14ac:dyDescent="0.25">
      <c r="A23" s="48" t="s">
        <v>124</v>
      </c>
      <c r="B23" s="48" t="s">
        <v>125</v>
      </c>
      <c r="C23" s="48"/>
      <c r="D23" s="48"/>
      <c r="E23" s="48"/>
      <c r="F23" s="48"/>
      <c r="G23" s="48"/>
      <c r="H23" s="48"/>
    </row>
    <row r="24" spans="1:8" x14ac:dyDescent="0.25">
      <c r="A24" s="48" t="s">
        <v>32</v>
      </c>
      <c r="B24" s="48" t="s">
        <v>126</v>
      </c>
      <c r="C24" s="48"/>
      <c r="D24" s="48"/>
      <c r="E24" s="48"/>
      <c r="F24" s="48"/>
      <c r="G24" s="48"/>
      <c r="H24" s="48"/>
    </row>
    <row r="25" spans="1:8" x14ac:dyDescent="0.25">
      <c r="A25" s="48" t="s">
        <v>133</v>
      </c>
      <c r="B25" s="48" t="s">
        <v>134</v>
      </c>
    </row>
    <row r="26" spans="1:8" x14ac:dyDescent="0.25">
      <c r="A26" s="48" t="s">
        <v>159</v>
      </c>
      <c r="B26" s="48" t="s">
        <v>183</v>
      </c>
    </row>
    <row r="27" spans="1:8" x14ac:dyDescent="0.25">
      <c r="A27" s="48" t="s">
        <v>157</v>
      </c>
      <c r="B27" s="48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tabSelected="1" view="pageBreakPreview" topLeftCell="B5" zoomScale="70" zoomScaleNormal="70" zoomScaleSheetLayoutView="70" workbookViewId="0">
      <selection activeCell="B16" sqref="B16"/>
    </sheetView>
  </sheetViews>
  <sheetFormatPr defaultColWidth="8.85546875" defaultRowHeight="15" x14ac:dyDescent="0.25"/>
  <cols>
    <col min="1" max="1" width="28.7109375" style="1" customWidth="1"/>
    <col min="2" max="2" width="28.7109375" customWidth="1"/>
    <col min="3" max="3" width="34.5703125" customWidth="1"/>
    <col min="4" max="4" width="32.28515625" customWidth="1"/>
    <col min="5" max="5" width="30.140625" customWidth="1"/>
    <col min="6" max="6" width="28.28515625" customWidth="1"/>
    <col min="7" max="7" width="27.5703125" customWidth="1"/>
    <col min="8" max="8" width="32.28515625" customWidth="1"/>
    <col min="9" max="9" width="31.85546875" customWidth="1"/>
    <col min="10" max="13" width="25.7109375" customWidth="1"/>
    <col min="14" max="15" width="28.28515625" customWidth="1"/>
    <col min="16" max="31" width="25.7109375" customWidth="1"/>
    <col min="32" max="32" width="25.7109375" style="39" customWidth="1"/>
    <col min="33" max="33" width="27.7109375" customWidth="1"/>
    <col min="34" max="43" width="25.7109375" customWidth="1"/>
    <col min="44" max="44" width="35.7109375" customWidth="1"/>
    <col min="45" max="45" width="21.28515625" customWidth="1"/>
    <col min="46" max="46" width="23" customWidth="1"/>
    <col min="47" max="47" width="32" customWidth="1"/>
    <col min="48" max="48" width="15" customWidth="1"/>
  </cols>
  <sheetData>
    <row r="1" spans="1:48" ht="15.75" thickBot="1" x14ac:dyDescent="0.3"/>
    <row r="2" spans="1:48" ht="15.75" thickBot="1" x14ac:dyDescent="0.3">
      <c r="A2" s="15"/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90" t="s">
        <v>1</v>
      </c>
      <c r="Z2" s="91"/>
      <c r="AA2" s="91"/>
      <c r="AB2" s="91"/>
      <c r="AC2" s="91"/>
      <c r="AD2" s="91"/>
      <c r="AE2" s="91"/>
      <c r="AF2" s="90" t="s">
        <v>1</v>
      </c>
      <c r="AG2" s="91"/>
      <c r="AH2" s="91"/>
      <c r="AI2" s="91"/>
      <c r="AJ2" s="91"/>
      <c r="AK2" s="91"/>
      <c r="AL2" s="28"/>
      <c r="AM2" s="28"/>
      <c r="AN2" s="28"/>
      <c r="AO2" s="28"/>
      <c r="AP2" s="28"/>
      <c r="AQ2" s="28"/>
      <c r="AR2" s="92" t="s">
        <v>2</v>
      </c>
      <c r="AS2" s="93"/>
      <c r="AT2" s="87" t="s">
        <v>3</v>
      </c>
      <c r="AU2" s="88"/>
      <c r="AV2" s="89"/>
    </row>
    <row r="3" spans="1:48" s="2" customFormat="1" ht="45" x14ac:dyDescent="0.25">
      <c r="A3" s="29"/>
      <c r="B3" s="29" t="s">
        <v>4</v>
      </c>
      <c r="C3" s="29" t="s">
        <v>5</v>
      </c>
      <c r="D3" s="29" t="s">
        <v>6</v>
      </c>
      <c r="E3" s="29" t="s">
        <v>188</v>
      </c>
      <c r="F3" s="29" t="s">
        <v>8</v>
      </c>
      <c r="G3" s="29" t="s">
        <v>9</v>
      </c>
      <c r="H3" s="29" t="s">
        <v>10</v>
      </c>
      <c r="I3" s="29" t="s">
        <v>11</v>
      </c>
      <c r="J3" s="29" t="s">
        <v>145</v>
      </c>
      <c r="K3" s="29" t="s">
        <v>12</v>
      </c>
      <c r="L3" s="29" t="s">
        <v>172</v>
      </c>
      <c r="M3" s="29" t="s">
        <v>13</v>
      </c>
      <c r="N3" s="29" t="s">
        <v>14</v>
      </c>
      <c r="O3" s="29" t="s">
        <v>152</v>
      </c>
      <c r="P3" s="29" t="s">
        <v>15</v>
      </c>
      <c r="Q3" s="29" t="s">
        <v>146</v>
      </c>
      <c r="R3" s="29" t="s">
        <v>137</v>
      </c>
      <c r="S3" s="29" t="s">
        <v>147</v>
      </c>
      <c r="T3" s="29" t="s">
        <v>149</v>
      </c>
      <c r="U3" s="29" t="s">
        <v>148</v>
      </c>
      <c r="V3" s="29" t="s">
        <v>150</v>
      </c>
      <c r="W3" s="29" t="s">
        <v>162</v>
      </c>
      <c r="X3" s="29" t="s">
        <v>161</v>
      </c>
      <c r="Y3" s="29" t="s">
        <v>16</v>
      </c>
      <c r="Z3" s="29" t="s">
        <v>17</v>
      </c>
      <c r="AA3" s="29" t="s">
        <v>18</v>
      </c>
      <c r="AB3" s="29" t="s">
        <v>140</v>
      </c>
      <c r="AC3" s="29" t="s">
        <v>19</v>
      </c>
      <c r="AD3" s="29" t="s">
        <v>20</v>
      </c>
      <c r="AE3" s="29" t="s">
        <v>21</v>
      </c>
      <c r="AF3" s="29" t="s">
        <v>22</v>
      </c>
      <c r="AG3" s="29" t="s">
        <v>23</v>
      </c>
      <c r="AH3" s="29" t="s">
        <v>24</v>
      </c>
      <c r="AI3" s="29" t="s">
        <v>25</v>
      </c>
      <c r="AJ3" s="29" t="s">
        <v>26</v>
      </c>
      <c r="AK3" s="29" t="s">
        <v>27</v>
      </c>
      <c r="AL3" s="29" t="s">
        <v>176</v>
      </c>
      <c r="AM3" s="29" t="s">
        <v>177</v>
      </c>
      <c r="AN3" s="29" t="s">
        <v>28</v>
      </c>
      <c r="AO3" s="29" t="s">
        <v>156</v>
      </c>
      <c r="AP3" s="29" t="s">
        <v>157</v>
      </c>
      <c r="AQ3" s="29" t="s">
        <v>159</v>
      </c>
      <c r="AR3" s="29" t="s">
        <v>29</v>
      </c>
      <c r="AS3" s="29" t="s">
        <v>30</v>
      </c>
      <c r="AT3" s="29" t="s">
        <v>31</v>
      </c>
      <c r="AU3" s="29" t="s">
        <v>32</v>
      </c>
      <c r="AV3" s="29" t="s">
        <v>33</v>
      </c>
    </row>
    <row r="4" spans="1:48" s="3" customFormat="1" x14ac:dyDescent="0.25">
      <c r="A4" s="13" t="s">
        <v>34</v>
      </c>
      <c r="B4" s="3">
        <v>702051</v>
      </c>
      <c r="C4" s="3">
        <v>32253</v>
      </c>
      <c r="D4" s="3">
        <v>593134</v>
      </c>
      <c r="E4" s="33">
        <f>826824+489125</f>
        <v>1315949</v>
      </c>
      <c r="F4" s="3">
        <v>45699</v>
      </c>
      <c r="G4" s="3">
        <v>306190</v>
      </c>
      <c r="H4" s="3">
        <v>5346</v>
      </c>
      <c r="I4" s="3">
        <v>25351</v>
      </c>
      <c r="J4" s="3">
        <v>28153</v>
      </c>
      <c r="K4" s="3">
        <v>120848</v>
      </c>
      <c r="L4" s="3">
        <v>10000</v>
      </c>
      <c r="M4" s="3">
        <v>25516</v>
      </c>
      <c r="N4" s="3">
        <f>60095+505206</f>
        <v>565301</v>
      </c>
      <c r="O4" s="3">
        <f>6634+96341</f>
        <v>102975</v>
      </c>
      <c r="P4" s="3">
        <v>44000</v>
      </c>
      <c r="Q4" s="3">
        <v>5272</v>
      </c>
      <c r="R4" s="3">
        <v>9025</v>
      </c>
      <c r="S4" s="3">
        <v>4708</v>
      </c>
      <c r="T4" s="3">
        <v>4903</v>
      </c>
      <c r="U4" s="3">
        <v>0</v>
      </c>
      <c r="V4" s="3">
        <v>3858</v>
      </c>
      <c r="W4" s="3">
        <v>4302</v>
      </c>
      <c r="X4" s="3">
        <v>77000</v>
      </c>
      <c r="Y4" s="3">
        <f>116058+12199</f>
        <v>128257</v>
      </c>
      <c r="Z4" s="3">
        <v>17192</v>
      </c>
      <c r="AA4" s="33">
        <f>107177+28125</f>
        <v>135302</v>
      </c>
      <c r="AB4" s="33">
        <f>191497-12199-37689</f>
        <v>141609</v>
      </c>
      <c r="AC4" s="33">
        <v>10000</v>
      </c>
      <c r="AD4" s="3">
        <f>71619</f>
        <v>71619</v>
      </c>
      <c r="AE4" s="3">
        <v>50000</v>
      </c>
      <c r="AF4" s="33">
        <v>0</v>
      </c>
      <c r="AG4" s="33">
        <v>1101312</v>
      </c>
      <c r="AH4" s="33">
        <v>339170</v>
      </c>
      <c r="AI4" s="33">
        <v>419958</v>
      </c>
      <c r="AJ4" s="33">
        <v>1827460</v>
      </c>
      <c r="AK4" s="33">
        <v>3628269</v>
      </c>
      <c r="AL4" s="69">
        <f>37+1733+2003+13000</f>
        <v>16773</v>
      </c>
      <c r="AM4" s="69">
        <f>343+80+33</f>
        <v>456</v>
      </c>
      <c r="AN4" s="34">
        <f>119622-47425</f>
        <v>72197</v>
      </c>
      <c r="AO4" s="34">
        <f>100000+37689</f>
        <v>137689</v>
      </c>
      <c r="AP4" s="34">
        <v>16750</v>
      </c>
      <c r="AQ4" s="34">
        <v>16347</v>
      </c>
      <c r="AR4" s="3">
        <v>3245794</v>
      </c>
      <c r="AS4" s="33">
        <v>149556</v>
      </c>
      <c r="AT4" s="3">
        <f>2045967</f>
        <v>2045967</v>
      </c>
      <c r="AU4" s="3">
        <v>297431</v>
      </c>
      <c r="AV4" s="3">
        <v>87773</v>
      </c>
    </row>
    <row r="5" spans="1:48" s="3" customFormat="1" ht="30" x14ac:dyDescent="0.25">
      <c r="A5" s="13" t="s">
        <v>35</v>
      </c>
      <c r="B5" s="3">
        <f>136+3552</f>
        <v>3688</v>
      </c>
      <c r="C5" s="3">
        <v>3445</v>
      </c>
      <c r="D5" s="3">
        <f>285+5</f>
        <v>290</v>
      </c>
      <c r="E5" s="33">
        <f>8330+8</f>
        <v>8338</v>
      </c>
      <c r="F5" s="3">
        <v>0</v>
      </c>
      <c r="G5" s="3">
        <f>2794+54855</f>
        <v>57649</v>
      </c>
      <c r="H5" s="3">
        <v>574</v>
      </c>
      <c r="I5" s="3">
        <v>1118</v>
      </c>
      <c r="L5" s="3">
        <v>0</v>
      </c>
      <c r="M5" s="3">
        <v>0</v>
      </c>
      <c r="N5" s="3">
        <f>4418+28523+5382</f>
        <v>38323</v>
      </c>
      <c r="O5" s="3">
        <f>1114+1963</f>
        <v>3077</v>
      </c>
      <c r="P5" s="3">
        <v>331</v>
      </c>
      <c r="Q5" s="3">
        <v>0</v>
      </c>
      <c r="S5" s="3">
        <v>218</v>
      </c>
      <c r="T5" s="27">
        <v>0</v>
      </c>
      <c r="V5" s="3">
        <v>648</v>
      </c>
      <c r="X5" s="3">
        <v>73</v>
      </c>
      <c r="Y5" s="3">
        <v>0</v>
      </c>
      <c r="Z5" s="3">
        <v>0</v>
      </c>
      <c r="AA5" s="33"/>
      <c r="AB5" s="33">
        <v>0</v>
      </c>
      <c r="AC5" s="33">
        <v>2341</v>
      </c>
      <c r="AD5" s="3">
        <v>2703</v>
      </c>
      <c r="AE5" s="3">
        <v>19925</v>
      </c>
      <c r="AF5" s="33">
        <v>738</v>
      </c>
      <c r="AG5" s="33">
        <v>0</v>
      </c>
      <c r="AH5" s="33">
        <v>3101</v>
      </c>
      <c r="AI5" s="33"/>
      <c r="AJ5" s="33">
        <v>0</v>
      </c>
      <c r="AK5" s="33">
        <v>464</v>
      </c>
      <c r="AL5" s="69"/>
      <c r="AM5" s="69"/>
      <c r="AN5" s="34">
        <v>47425</v>
      </c>
      <c r="AO5" s="34">
        <v>0</v>
      </c>
      <c r="AP5" s="34">
        <v>0</v>
      </c>
      <c r="AQ5" s="34"/>
      <c r="AR5" s="3">
        <v>0</v>
      </c>
      <c r="AS5" s="33">
        <v>38674</v>
      </c>
      <c r="AT5" s="3">
        <v>-235401</v>
      </c>
      <c r="AU5" s="3">
        <v>0</v>
      </c>
    </row>
    <row r="6" spans="1:48" s="3" customFormat="1" x14ac:dyDescent="0.25">
      <c r="A6" s="13" t="s">
        <v>36</v>
      </c>
      <c r="B6" s="3">
        <f>SUM(B4:B5)</f>
        <v>705739</v>
      </c>
      <c r="C6" s="3">
        <f t="shared" ref="C6:AU6" si="0">SUM(C4:C5)</f>
        <v>35698</v>
      </c>
      <c r="D6" s="3">
        <f t="shared" si="0"/>
        <v>593424</v>
      </c>
      <c r="E6" s="33">
        <f t="shared" si="0"/>
        <v>1324287</v>
      </c>
      <c r="F6" s="3">
        <f t="shared" si="0"/>
        <v>45699</v>
      </c>
      <c r="G6" s="3">
        <f t="shared" si="0"/>
        <v>363839</v>
      </c>
      <c r="H6" s="3">
        <f t="shared" si="0"/>
        <v>5920</v>
      </c>
      <c r="I6" s="3">
        <f t="shared" si="0"/>
        <v>26469</v>
      </c>
      <c r="J6" s="3">
        <f t="shared" si="0"/>
        <v>28153</v>
      </c>
      <c r="K6" s="3">
        <f t="shared" si="0"/>
        <v>120848</v>
      </c>
      <c r="L6" s="3">
        <f t="shared" si="0"/>
        <v>10000</v>
      </c>
      <c r="M6" s="3">
        <f t="shared" si="0"/>
        <v>25516</v>
      </c>
      <c r="N6" s="3">
        <f t="shared" si="0"/>
        <v>603624</v>
      </c>
      <c r="O6" s="3">
        <f t="shared" si="0"/>
        <v>106052</v>
      </c>
      <c r="P6" s="3">
        <f t="shared" si="0"/>
        <v>44331</v>
      </c>
      <c r="Q6" s="3">
        <f t="shared" si="0"/>
        <v>5272</v>
      </c>
      <c r="R6" s="3">
        <f t="shared" si="0"/>
        <v>9025</v>
      </c>
      <c r="S6" s="3">
        <f t="shared" si="0"/>
        <v>4926</v>
      </c>
      <c r="T6" s="3">
        <f t="shared" si="0"/>
        <v>4903</v>
      </c>
      <c r="U6" s="3">
        <f t="shared" si="0"/>
        <v>0</v>
      </c>
      <c r="V6" s="3">
        <f t="shared" si="0"/>
        <v>4506</v>
      </c>
      <c r="W6" s="3">
        <f t="shared" si="0"/>
        <v>4302</v>
      </c>
      <c r="X6" s="3">
        <f t="shared" si="0"/>
        <v>77073</v>
      </c>
      <c r="Y6" s="3">
        <f t="shared" si="0"/>
        <v>128257</v>
      </c>
      <c r="Z6" s="3">
        <v>17192</v>
      </c>
      <c r="AA6" s="33">
        <f t="shared" si="0"/>
        <v>135302</v>
      </c>
      <c r="AB6" s="33">
        <f t="shared" si="0"/>
        <v>141609</v>
      </c>
      <c r="AC6" s="33">
        <f t="shared" si="0"/>
        <v>12341</v>
      </c>
      <c r="AD6" s="3">
        <f t="shared" si="0"/>
        <v>74322</v>
      </c>
      <c r="AE6" s="3">
        <f t="shared" si="0"/>
        <v>69925</v>
      </c>
      <c r="AF6" s="33">
        <f t="shared" si="0"/>
        <v>738</v>
      </c>
      <c r="AG6" s="33">
        <f t="shared" si="0"/>
        <v>1101312</v>
      </c>
      <c r="AH6" s="33">
        <f t="shared" si="0"/>
        <v>342271</v>
      </c>
      <c r="AI6" s="33">
        <f t="shared" si="0"/>
        <v>419958</v>
      </c>
      <c r="AJ6" s="33">
        <f t="shared" si="0"/>
        <v>1827460</v>
      </c>
      <c r="AK6" s="33">
        <f t="shared" si="0"/>
        <v>3628733</v>
      </c>
      <c r="AL6" s="33">
        <f t="shared" si="0"/>
        <v>16773</v>
      </c>
      <c r="AM6" s="33">
        <v>458</v>
      </c>
      <c r="AN6" s="34">
        <f t="shared" si="0"/>
        <v>119622</v>
      </c>
      <c r="AO6" s="34">
        <f t="shared" si="0"/>
        <v>137689</v>
      </c>
      <c r="AP6" s="34">
        <f t="shared" si="0"/>
        <v>16750</v>
      </c>
      <c r="AQ6" s="34">
        <f t="shared" si="0"/>
        <v>16347</v>
      </c>
      <c r="AR6" s="3">
        <f t="shared" si="0"/>
        <v>3245794</v>
      </c>
      <c r="AS6" s="33">
        <f t="shared" si="0"/>
        <v>188230</v>
      </c>
      <c r="AT6" s="3">
        <f t="shared" si="0"/>
        <v>1810566</v>
      </c>
      <c r="AU6" s="3">
        <f t="shared" si="0"/>
        <v>297431</v>
      </c>
      <c r="AV6" s="3">
        <f>AV4</f>
        <v>87773</v>
      </c>
    </row>
    <row r="7" spans="1:48" s="5" customFormat="1" x14ac:dyDescent="0.25">
      <c r="A7" s="14" t="s">
        <v>37</v>
      </c>
      <c r="B7" s="5">
        <f>28051</f>
        <v>28051</v>
      </c>
      <c r="D7" s="5">
        <f>23865</f>
        <v>23865</v>
      </c>
      <c r="E7" s="37">
        <v>55607</v>
      </c>
      <c r="F7" s="5">
        <v>0</v>
      </c>
      <c r="G7" s="5">
        <v>13176</v>
      </c>
      <c r="N7" s="5">
        <v>54345</v>
      </c>
      <c r="O7" s="5">
        <v>7113</v>
      </c>
      <c r="P7" s="5">
        <v>0</v>
      </c>
      <c r="Q7" s="5">
        <v>0</v>
      </c>
      <c r="AA7" s="37"/>
      <c r="AB7" s="37"/>
      <c r="AC7" s="37"/>
      <c r="AF7" s="37">
        <f>398+210</f>
        <v>608</v>
      </c>
      <c r="AG7" s="74">
        <v>0</v>
      </c>
      <c r="AH7" s="74">
        <f>1636+862+67</f>
        <v>2565</v>
      </c>
      <c r="AI7" s="74"/>
      <c r="AJ7" s="74">
        <f>652+344</f>
        <v>996</v>
      </c>
      <c r="AK7" s="37">
        <f>463-93</f>
        <v>370</v>
      </c>
      <c r="AL7" s="70">
        <f>30+1428+1693+10757+100</f>
        <v>14008</v>
      </c>
      <c r="AM7" s="70">
        <f>185+98+43+23+18+10</f>
        <v>377</v>
      </c>
      <c r="AN7" s="35"/>
      <c r="AO7" s="35"/>
      <c r="AP7" s="35">
        <v>0</v>
      </c>
      <c r="AQ7" s="35"/>
      <c r="AR7" s="5">
        <v>0</v>
      </c>
      <c r="AS7" s="37"/>
      <c r="AT7" s="5">
        <v>0</v>
      </c>
      <c r="AU7" s="5">
        <v>0</v>
      </c>
    </row>
    <row r="8" spans="1:48" s="7" customFormat="1" x14ac:dyDescent="0.25">
      <c r="A8" s="12" t="s">
        <v>38</v>
      </c>
      <c r="B8" s="7">
        <f>B7/B6</f>
        <v>3.9746988617605089E-2</v>
      </c>
      <c r="C8" s="7">
        <f t="shared" ref="C8:AR8" si="1">C7/C6</f>
        <v>0</v>
      </c>
      <c r="D8" s="7">
        <f t="shared" si="1"/>
        <v>4.0215764782010839E-2</v>
      </c>
      <c r="E8" s="38">
        <f t="shared" si="1"/>
        <v>4.1990142620142008E-2</v>
      </c>
      <c r="F8" s="7">
        <f t="shared" si="1"/>
        <v>0</v>
      </c>
      <c r="G8" s="7">
        <f t="shared" si="1"/>
        <v>3.6213819848889203E-2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9.0031211482644827E-2</v>
      </c>
      <c r="O8" s="7">
        <f t="shared" si="1"/>
        <v>6.7070870893523926E-2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v>0</v>
      </c>
      <c r="V8" s="7">
        <f t="shared" si="1"/>
        <v>0</v>
      </c>
      <c r="Y8" s="7">
        <f t="shared" si="1"/>
        <v>0</v>
      </c>
      <c r="Z8" s="7">
        <f t="shared" si="1"/>
        <v>0</v>
      </c>
      <c r="AA8" s="38">
        <f t="shared" si="1"/>
        <v>0</v>
      </c>
      <c r="AB8" s="38">
        <f t="shared" si="1"/>
        <v>0</v>
      </c>
      <c r="AC8" s="38">
        <f t="shared" si="1"/>
        <v>0</v>
      </c>
      <c r="AD8" s="7">
        <f t="shared" si="1"/>
        <v>0</v>
      </c>
      <c r="AE8" s="7">
        <f t="shared" si="1"/>
        <v>0</v>
      </c>
      <c r="AF8" s="71"/>
      <c r="AG8" s="75">
        <f t="shared" ref="AG8:AK8" si="2">AG7/AG6</f>
        <v>0</v>
      </c>
      <c r="AH8" s="75">
        <f t="shared" si="2"/>
        <v>7.4940617230206475E-3</v>
      </c>
      <c r="AI8" s="75">
        <f t="shared" si="2"/>
        <v>0</v>
      </c>
      <c r="AJ8" s="75">
        <f t="shared" si="2"/>
        <v>5.4501876922066696E-4</v>
      </c>
      <c r="AK8" s="75">
        <f t="shared" si="2"/>
        <v>1.0196396373059137E-4</v>
      </c>
      <c r="AL8" s="75">
        <f>AL7/AL6</f>
        <v>0.83515173195015802</v>
      </c>
      <c r="AM8" s="75"/>
      <c r="AN8" s="36"/>
      <c r="AO8" s="36"/>
      <c r="AP8" s="36">
        <v>0</v>
      </c>
      <c r="AQ8" s="36"/>
      <c r="AR8" s="7">
        <f t="shared" si="1"/>
        <v>0</v>
      </c>
      <c r="AS8" s="38">
        <f>AS7/AS6</f>
        <v>0</v>
      </c>
      <c r="AT8" s="7">
        <f>AT7/AT6</f>
        <v>0</v>
      </c>
      <c r="AU8" s="7">
        <f t="shared" ref="AU8:AV8" si="3">AU7/AU6</f>
        <v>0</v>
      </c>
      <c r="AV8" s="7">
        <f t="shared" si="3"/>
        <v>0</v>
      </c>
    </row>
    <row r="9" spans="1:48" s="5" customFormat="1" x14ac:dyDescent="0.25">
      <c r="A9" s="14" t="s">
        <v>39</v>
      </c>
      <c r="B9" s="5">
        <v>580590</v>
      </c>
      <c r="C9" s="5">
        <v>20074</v>
      </c>
      <c r="D9" s="5">
        <f>709406+285-74848-191567</f>
        <v>443276</v>
      </c>
      <c r="E9" s="37">
        <f>1677922-583540-50684</f>
        <v>1043698</v>
      </c>
      <c r="F9" s="5">
        <v>23660</v>
      </c>
      <c r="G9" s="5">
        <f>293176-24558</f>
        <v>268618</v>
      </c>
      <c r="H9" s="5">
        <v>3273</v>
      </c>
      <c r="I9" s="5">
        <v>13171</v>
      </c>
      <c r="J9" s="5">
        <v>28153</v>
      </c>
      <c r="K9" s="5">
        <v>90636</v>
      </c>
      <c r="L9" s="5">
        <v>9198</v>
      </c>
      <c r="M9" s="5">
        <v>22368</v>
      </c>
      <c r="N9" s="5">
        <v>452600</v>
      </c>
      <c r="O9" s="5">
        <v>88551</v>
      </c>
      <c r="P9" s="5">
        <v>40577</v>
      </c>
      <c r="Q9" s="5">
        <v>4171</v>
      </c>
      <c r="R9" s="5">
        <f>1685+883</f>
        <v>2568</v>
      </c>
      <c r="S9" s="5">
        <f>4925-1037</f>
        <v>3888</v>
      </c>
      <c r="T9" s="5">
        <v>0</v>
      </c>
      <c r="U9" s="5">
        <v>0</v>
      </c>
      <c r="V9" s="5">
        <v>2056</v>
      </c>
      <c r="W9" s="5">
        <v>3801</v>
      </c>
      <c r="X9" s="5">
        <v>61237</v>
      </c>
      <c r="Y9" s="5">
        <v>107966</v>
      </c>
      <c r="Z9" s="5">
        <v>11928</v>
      </c>
      <c r="AA9" s="37">
        <v>84885</v>
      </c>
      <c r="AB9" s="37">
        <f>53712</f>
        <v>53712</v>
      </c>
      <c r="AC9" s="37">
        <f>3516+1854</f>
        <v>5370</v>
      </c>
      <c r="AD9" s="5">
        <f>51365</f>
        <v>51365</v>
      </c>
      <c r="AE9" s="5">
        <v>59801</v>
      </c>
      <c r="AF9" s="73">
        <v>0</v>
      </c>
      <c r="AG9" s="74">
        <v>720</v>
      </c>
      <c r="AH9" s="74">
        <v>125933</v>
      </c>
      <c r="AI9" s="74">
        <v>152701</v>
      </c>
      <c r="AJ9" s="74">
        <f>19033</f>
        <v>19033</v>
      </c>
      <c r="AK9" s="37">
        <v>0</v>
      </c>
      <c r="AL9" s="70"/>
      <c r="AM9" s="70"/>
      <c r="AN9" s="35">
        <v>99977</v>
      </c>
      <c r="AO9" s="35">
        <v>55346</v>
      </c>
      <c r="AP9" s="35">
        <v>11826</v>
      </c>
      <c r="AQ9" s="35">
        <v>10958</v>
      </c>
      <c r="AR9" s="5">
        <v>2019081</v>
      </c>
      <c r="AS9" s="37">
        <f>132326</f>
        <v>132326</v>
      </c>
      <c r="AT9" s="5">
        <v>1067045</v>
      </c>
      <c r="AU9" s="5">
        <v>247804</v>
      </c>
      <c r="AV9" s="5">
        <f>69411+5+7500+33248</f>
        <v>110164</v>
      </c>
    </row>
    <row r="10" spans="1:48" s="7" customFormat="1" x14ac:dyDescent="0.25">
      <c r="A10" s="12" t="s">
        <v>40</v>
      </c>
      <c r="B10" s="7">
        <f>B9/B6</f>
        <v>0.82266957047860467</v>
      </c>
      <c r="C10" s="7">
        <f t="shared" ref="C10:AV10" si="4">C9/C6</f>
        <v>0.56232842176032272</v>
      </c>
      <c r="D10" s="7">
        <f t="shared" si="4"/>
        <v>0.74698023672787084</v>
      </c>
      <c r="E10" s="38">
        <f t="shared" si="4"/>
        <v>0.78812070193243611</v>
      </c>
      <c r="F10" s="7">
        <f t="shared" si="4"/>
        <v>0.51773561784721767</v>
      </c>
      <c r="G10" s="7">
        <f t="shared" si="4"/>
        <v>0.7382880889624257</v>
      </c>
      <c r="H10" s="7">
        <f t="shared" si="4"/>
        <v>0.55287162162162162</v>
      </c>
      <c r="I10" s="7">
        <f t="shared" si="4"/>
        <v>0.49760096716914126</v>
      </c>
      <c r="J10" s="7">
        <f t="shared" si="4"/>
        <v>1</v>
      </c>
      <c r="K10" s="7">
        <f t="shared" si="4"/>
        <v>0.75</v>
      </c>
      <c r="L10" s="7">
        <f t="shared" si="4"/>
        <v>0.91979999999999995</v>
      </c>
      <c r="M10" s="7">
        <f t="shared" si="4"/>
        <v>0.87662643047499611</v>
      </c>
      <c r="N10" s="7">
        <f t="shared" si="4"/>
        <v>0.74980451406836046</v>
      </c>
      <c r="O10" s="7">
        <f t="shared" si="4"/>
        <v>0.83497718100554441</v>
      </c>
      <c r="P10" s="7">
        <f t="shared" si="4"/>
        <v>0.91531885136811708</v>
      </c>
      <c r="Q10" s="7">
        <f t="shared" si="4"/>
        <v>0.79116084977238244</v>
      </c>
      <c r="R10" s="7">
        <f t="shared" si="4"/>
        <v>0.28454293628808863</v>
      </c>
      <c r="S10" s="7">
        <f t="shared" si="4"/>
        <v>0.78928136419001216</v>
      </c>
      <c r="T10" s="7">
        <f t="shared" si="4"/>
        <v>0</v>
      </c>
      <c r="U10" s="7">
        <v>0</v>
      </c>
      <c r="V10" s="7">
        <f t="shared" si="4"/>
        <v>0.45628051486906346</v>
      </c>
      <c r="W10" s="7">
        <f t="shared" si="4"/>
        <v>0.88354253835425378</v>
      </c>
      <c r="X10" s="7">
        <f t="shared" si="4"/>
        <v>0.79453245624278279</v>
      </c>
      <c r="Y10" s="7">
        <f t="shared" si="4"/>
        <v>0.84179421006260868</v>
      </c>
      <c r="Z10" s="7">
        <f t="shared" si="4"/>
        <v>0.69381107491856675</v>
      </c>
      <c r="AA10" s="38">
        <f t="shared" si="4"/>
        <v>0.6273743181918966</v>
      </c>
      <c r="AB10" s="38"/>
      <c r="AC10" s="38">
        <f t="shared" si="4"/>
        <v>0.43513491613321448</v>
      </c>
      <c r="AD10" s="7">
        <f t="shared" si="4"/>
        <v>0.69111434030300589</v>
      </c>
      <c r="AE10" s="7">
        <f t="shared" si="4"/>
        <v>0.85521630318198072</v>
      </c>
      <c r="AF10" s="71"/>
      <c r="AG10" s="75">
        <f t="shared" ref="AG10:AP10" si="5">AG9/AG6</f>
        <v>6.5376569037656901E-4</v>
      </c>
      <c r="AH10" s="75">
        <f t="shared" si="5"/>
        <v>0.3679335964776449</v>
      </c>
      <c r="AI10" s="75">
        <f t="shared" si="5"/>
        <v>0.36361017054086359</v>
      </c>
      <c r="AJ10" s="75">
        <f t="shared" si="5"/>
        <v>1.0415002243551158E-2</v>
      </c>
      <c r="AK10" s="38">
        <f t="shared" si="5"/>
        <v>0</v>
      </c>
      <c r="AL10" s="38">
        <f t="shared" si="5"/>
        <v>0</v>
      </c>
      <c r="AM10" s="38"/>
      <c r="AN10" s="7">
        <f t="shared" si="5"/>
        <v>0.83577435588771298</v>
      </c>
      <c r="AP10" s="7">
        <f t="shared" si="5"/>
        <v>0.70602985074626867</v>
      </c>
      <c r="AR10" s="7">
        <f t="shared" si="4"/>
        <v>0.62206073459991607</v>
      </c>
      <c r="AS10" s="38">
        <f t="shared" si="4"/>
        <v>0.70300164692131961</v>
      </c>
      <c r="AT10" s="7">
        <f t="shared" si="4"/>
        <v>0.58934333241649295</v>
      </c>
      <c r="AU10" s="7">
        <f t="shared" si="4"/>
        <v>0.83314785614142439</v>
      </c>
      <c r="AV10" s="7">
        <f t="shared" si="4"/>
        <v>1.2551012270288129</v>
      </c>
    </row>
    <row r="11" spans="1:48" s="5" customFormat="1" x14ac:dyDescent="0.25">
      <c r="A11" s="14" t="s">
        <v>41</v>
      </c>
      <c r="B11" s="5">
        <f>8538+5062</f>
        <v>13600</v>
      </c>
      <c r="C11" s="5">
        <v>2844</v>
      </c>
      <c r="D11" s="5">
        <v>4366</v>
      </c>
      <c r="E11" s="37">
        <v>11370</v>
      </c>
      <c r="F11" s="5">
        <v>0</v>
      </c>
      <c r="G11" s="5">
        <f>2578+24558</f>
        <v>27136</v>
      </c>
      <c r="H11" s="5">
        <v>461</v>
      </c>
      <c r="I11" s="5">
        <v>1854</v>
      </c>
      <c r="M11" s="5">
        <v>3148</v>
      </c>
      <c r="N11" s="5">
        <f>11132+85547</f>
        <v>96679</v>
      </c>
      <c r="O11" s="5">
        <f>8904+1484</f>
        <v>10388</v>
      </c>
      <c r="P11" s="5">
        <v>3754</v>
      </c>
      <c r="Q11" s="5">
        <v>1013</v>
      </c>
      <c r="R11" s="5">
        <v>561</v>
      </c>
      <c r="S11" s="5">
        <v>1038</v>
      </c>
      <c r="T11" s="5">
        <v>0</v>
      </c>
      <c r="U11" s="5">
        <v>0</v>
      </c>
      <c r="V11" s="5">
        <v>299</v>
      </c>
      <c r="W11" s="5">
        <v>448</v>
      </c>
      <c r="X11" s="5">
        <v>7528</v>
      </c>
      <c r="Y11" s="5">
        <v>20291</v>
      </c>
      <c r="Z11" s="5">
        <v>2459</v>
      </c>
      <c r="AA11" s="37">
        <v>14044</v>
      </c>
      <c r="AB11" s="37">
        <v>7245</v>
      </c>
      <c r="AC11" s="37">
        <v>1149</v>
      </c>
      <c r="AD11" s="5">
        <v>10221</v>
      </c>
      <c r="AE11" s="5">
        <v>10124</v>
      </c>
      <c r="AF11" s="73">
        <v>130</v>
      </c>
      <c r="AG11" s="74">
        <v>0</v>
      </c>
      <c r="AH11" s="74">
        <v>534</v>
      </c>
      <c r="AI11" s="74"/>
      <c r="AJ11" s="74">
        <v>213</v>
      </c>
      <c r="AK11" s="37">
        <v>93</v>
      </c>
      <c r="AL11" s="70">
        <v>2743</v>
      </c>
      <c r="AM11" s="70">
        <f>61+14+6</f>
        <v>81</v>
      </c>
      <c r="AN11" s="35">
        <v>19645</v>
      </c>
      <c r="AO11" s="35">
        <v>11048</v>
      </c>
      <c r="AP11" s="35">
        <v>2531</v>
      </c>
      <c r="AQ11" s="35">
        <v>2345</v>
      </c>
      <c r="AR11" s="5">
        <v>290236</v>
      </c>
      <c r="AS11" s="37">
        <v>22373</v>
      </c>
      <c r="AT11" s="5">
        <v>170638</v>
      </c>
      <c r="AU11" s="5">
        <v>49627</v>
      </c>
      <c r="AV11" s="5">
        <v>0</v>
      </c>
    </row>
    <row r="12" spans="1:48" s="7" customFormat="1" ht="15.75" customHeight="1" x14ac:dyDescent="0.25">
      <c r="A12" s="12" t="s">
        <v>42</v>
      </c>
      <c r="B12" s="7">
        <f>B11/B6</f>
        <v>1.9270580200329016E-2</v>
      </c>
      <c r="C12" s="7">
        <f t="shared" ref="C12:AV12" si="6">C11/C6</f>
        <v>7.9668328757913603E-2</v>
      </c>
      <c r="D12" s="7">
        <f t="shared" si="6"/>
        <v>7.3573027043058589E-3</v>
      </c>
      <c r="E12" s="38">
        <f t="shared" si="6"/>
        <v>8.5857521821176234E-3</v>
      </c>
      <c r="F12" s="7">
        <f t="shared" si="6"/>
        <v>0</v>
      </c>
      <c r="G12" s="7">
        <f t="shared" si="6"/>
        <v>7.4582438935902967E-2</v>
      </c>
      <c r="H12" s="7">
        <f t="shared" si="6"/>
        <v>7.7871621621621617E-2</v>
      </c>
      <c r="I12" s="7">
        <f t="shared" si="6"/>
        <v>7.0044202652159132E-2</v>
      </c>
      <c r="J12" s="7">
        <f t="shared" si="6"/>
        <v>0</v>
      </c>
      <c r="K12" s="7">
        <f t="shared" si="6"/>
        <v>0</v>
      </c>
      <c r="L12" s="7">
        <f t="shared" si="6"/>
        <v>0</v>
      </c>
      <c r="M12" s="7">
        <f t="shared" si="6"/>
        <v>0.12337356952500392</v>
      </c>
      <c r="N12" s="7">
        <f t="shared" si="6"/>
        <v>0.16016427444899473</v>
      </c>
      <c r="O12" s="7">
        <f t="shared" si="6"/>
        <v>9.7951948100931621E-2</v>
      </c>
      <c r="P12" s="7">
        <f t="shared" si="6"/>
        <v>8.4681148631882877E-2</v>
      </c>
      <c r="Q12" s="7">
        <f t="shared" si="6"/>
        <v>0.19214719271623673</v>
      </c>
      <c r="R12" s="7">
        <f t="shared" si="6"/>
        <v>6.2160664819944596E-2</v>
      </c>
      <c r="S12" s="7">
        <f t="shared" si="6"/>
        <v>0.21071863580998781</v>
      </c>
      <c r="T12" s="7">
        <f t="shared" si="6"/>
        <v>0</v>
      </c>
      <c r="U12" s="7">
        <v>0</v>
      </c>
      <c r="V12" s="7">
        <f t="shared" si="6"/>
        <v>6.6355969818020416E-2</v>
      </c>
      <c r="W12" s="7">
        <f t="shared" si="6"/>
        <v>0.10413761041376104</v>
      </c>
      <c r="X12" s="7">
        <f t="shared" si="6"/>
        <v>9.7673634087164118E-2</v>
      </c>
      <c r="Y12" s="7">
        <f t="shared" si="6"/>
        <v>0.15820578993739134</v>
      </c>
      <c r="Z12" s="7">
        <f t="shared" si="6"/>
        <v>0.14303164262447651</v>
      </c>
      <c r="AA12" s="38">
        <f t="shared" si="6"/>
        <v>0.10379743093228481</v>
      </c>
      <c r="AB12" s="38">
        <f t="shared" si="6"/>
        <v>5.1162002415100737E-2</v>
      </c>
      <c r="AC12" s="38">
        <f t="shared" si="6"/>
        <v>9.3104286524592822E-2</v>
      </c>
      <c r="AD12" s="7">
        <f t="shared" si="6"/>
        <v>0.13752320981674335</v>
      </c>
      <c r="AE12" s="7">
        <f t="shared" si="6"/>
        <v>0.14478369681801931</v>
      </c>
      <c r="AF12" s="38">
        <f t="shared" si="6"/>
        <v>0.17615176151761516</v>
      </c>
      <c r="AG12" s="38">
        <f t="shared" si="6"/>
        <v>0</v>
      </c>
      <c r="AH12" s="38">
        <f t="shared" si="6"/>
        <v>1.5601672359037138E-3</v>
      </c>
      <c r="AI12" s="38">
        <f t="shared" si="6"/>
        <v>0</v>
      </c>
      <c r="AJ12" s="38">
        <f t="shared" si="6"/>
        <v>1.1655521871887756E-4</v>
      </c>
      <c r="AK12" s="38"/>
      <c r="AL12" s="72"/>
      <c r="AM12" s="72"/>
      <c r="AN12" s="36"/>
      <c r="AO12" s="36"/>
      <c r="AP12" s="36"/>
      <c r="AQ12" s="36"/>
      <c r="AR12" s="7">
        <f t="shared" si="6"/>
        <v>8.9419106696235193E-2</v>
      </c>
      <c r="AS12" s="38">
        <f t="shared" si="6"/>
        <v>0.11885990543484036</v>
      </c>
      <c r="AT12" s="7">
        <f t="shared" si="6"/>
        <v>9.4245666824628316E-2</v>
      </c>
      <c r="AU12" s="7">
        <f t="shared" si="6"/>
        <v>0.16685214385857561</v>
      </c>
      <c r="AV12" s="7">
        <f t="shared" si="6"/>
        <v>0</v>
      </c>
    </row>
    <row r="13" spans="1:48" s="5" customFormat="1" x14ac:dyDescent="0.25">
      <c r="A13" s="14" t="s">
        <v>43</v>
      </c>
      <c r="B13" s="5">
        <f>B6-B7-B9-B11</f>
        <v>83498</v>
      </c>
      <c r="C13" s="5">
        <f t="shared" ref="C13:AV13" si="7">C6-C7-C9-C11</f>
        <v>12780</v>
      </c>
      <c r="D13" s="5">
        <f t="shared" si="7"/>
        <v>121917</v>
      </c>
      <c r="E13" s="37">
        <f t="shared" si="7"/>
        <v>213612</v>
      </c>
      <c r="F13" s="5">
        <f t="shared" si="7"/>
        <v>22039</v>
      </c>
      <c r="G13" s="5">
        <f t="shared" si="7"/>
        <v>54909</v>
      </c>
      <c r="H13" s="5">
        <f t="shared" si="7"/>
        <v>2186</v>
      </c>
      <c r="I13" s="5">
        <f t="shared" si="7"/>
        <v>11444</v>
      </c>
      <c r="J13" s="5">
        <f t="shared" si="7"/>
        <v>0</v>
      </c>
      <c r="K13" s="5">
        <f t="shared" si="7"/>
        <v>30212</v>
      </c>
      <c r="L13" s="5">
        <f t="shared" si="7"/>
        <v>802</v>
      </c>
      <c r="M13" s="5">
        <f t="shared" si="7"/>
        <v>0</v>
      </c>
      <c r="N13" s="5">
        <f t="shared" si="7"/>
        <v>0</v>
      </c>
      <c r="O13" s="5">
        <f t="shared" si="7"/>
        <v>0</v>
      </c>
      <c r="P13" s="5">
        <f t="shared" si="7"/>
        <v>0</v>
      </c>
      <c r="Q13" s="5">
        <f t="shared" si="7"/>
        <v>88</v>
      </c>
      <c r="R13" s="5">
        <f t="shared" si="7"/>
        <v>5896</v>
      </c>
      <c r="S13" s="5">
        <f t="shared" si="7"/>
        <v>0</v>
      </c>
      <c r="T13" s="5">
        <f t="shared" si="7"/>
        <v>4903</v>
      </c>
      <c r="U13" s="5">
        <f t="shared" si="7"/>
        <v>0</v>
      </c>
      <c r="V13" s="5">
        <f t="shared" si="7"/>
        <v>2151</v>
      </c>
      <c r="W13" s="5">
        <f t="shared" si="7"/>
        <v>53</v>
      </c>
      <c r="X13" s="5">
        <f t="shared" si="7"/>
        <v>8308</v>
      </c>
      <c r="Y13" s="5">
        <f t="shared" si="7"/>
        <v>0</v>
      </c>
      <c r="Z13" s="5">
        <f t="shared" si="7"/>
        <v>2805</v>
      </c>
      <c r="AA13" s="37">
        <f t="shared" si="7"/>
        <v>36373</v>
      </c>
      <c r="AB13" s="37">
        <f t="shared" si="7"/>
        <v>80652</v>
      </c>
      <c r="AC13" s="37">
        <f t="shared" si="7"/>
        <v>5822</v>
      </c>
      <c r="AD13" s="5">
        <f t="shared" si="7"/>
        <v>12736</v>
      </c>
      <c r="AE13" s="5">
        <f t="shared" si="7"/>
        <v>0</v>
      </c>
      <c r="AF13" s="37">
        <f t="shared" si="7"/>
        <v>0</v>
      </c>
      <c r="AG13" s="37">
        <f t="shared" si="7"/>
        <v>1100592</v>
      </c>
      <c r="AH13" s="37">
        <f t="shared" si="7"/>
        <v>213239</v>
      </c>
      <c r="AI13" s="37">
        <f t="shared" si="7"/>
        <v>267257</v>
      </c>
      <c r="AJ13" s="37">
        <f t="shared" si="7"/>
        <v>1807218</v>
      </c>
      <c r="AK13" s="37">
        <f t="shared" si="7"/>
        <v>3628270</v>
      </c>
      <c r="AL13" s="37">
        <f t="shared" si="7"/>
        <v>22</v>
      </c>
      <c r="AM13" s="37">
        <f t="shared" si="7"/>
        <v>0</v>
      </c>
      <c r="AN13" s="35">
        <f t="shared" si="7"/>
        <v>0</v>
      </c>
      <c r="AO13" s="35">
        <f t="shared" si="7"/>
        <v>71295</v>
      </c>
      <c r="AP13" s="35">
        <f t="shared" si="7"/>
        <v>2393</v>
      </c>
      <c r="AQ13" s="35">
        <f t="shared" si="7"/>
        <v>3044</v>
      </c>
      <c r="AR13" s="5">
        <f t="shared" si="7"/>
        <v>936477</v>
      </c>
      <c r="AS13" s="37">
        <f t="shared" si="7"/>
        <v>33531</v>
      </c>
      <c r="AT13" s="5">
        <f t="shared" si="7"/>
        <v>572883</v>
      </c>
      <c r="AU13" s="5">
        <f t="shared" si="7"/>
        <v>0</v>
      </c>
      <c r="AV13" s="5">
        <f t="shared" si="7"/>
        <v>-22391</v>
      </c>
    </row>
    <row r="14" spans="1:48" s="6" customFormat="1" ht="214.15" customHeight="1" x14ac:dyDescent="0.25">
      <c r="A14" s="4" t="s">
        <v>44</v>
      </c>
      <c r="B14" s="4" t="s">
        <v>164</v>
      </c>
      <c r="C14" s="4" t="s">
        <v>144</v>
      </c>
      <c r="D14" s="4" t="s">
        <v>135</v>
      </c>
      <c r="E14" s="4" t="s">
        <v>135</v>
      </c>
      <c r="F14" s="4" t="s">
        <v>135</v>
      </c>
      <c r="G14" s="4" t="s">
        <v>139</v>
      </c>
      <c r="H14" s="4" t="s">
        <v>144</v>
      </c>
      <c r="I14" s="4" t="s">
        <v>136</v>
      </c>
      <c r="J14" s="6" t="s">
        <v>45</v>
      </c>
      <c r="K14" s="6" t="s">
        <v>46</v>
      </c>
      <c r="L14" s="4" t="s">
        <v>158</v>
      </c>
      <c r="M14" s="6" t="s">
        <v>45</v>
      </c>
      <c r="N14" s="4" t="s">
        <v>45</v>
      </c>
      <c r="O14" s="4" t="s">
        <v>45</v>
      </c>
      <c r="P14" s="6" t="s">
        <v>45</v>
      </c>
      <c r="Q14" s="4" t="s">
        <v>47</v>
      </c>
      <c r="R14" s="4" t="s">
        <v>173</v>
      </c>
      <c r="S14" s="6" t="s">
        <v>45</v>
      </c>
      <c r="T14" s="4" t="s">
        <v>173</v>
      </c>
      <c r="U14" s="6" t="s">
        <v>45</v>
      </c>
      <c r="V14" s="4" t="s">
        <v>173</v>
      </c>
      <c r="W14" s="6" t="s">
        <v>47</v>
      </c>
      <c r="X14" s="4" t="s">
        <v>165</v>
      </c>
      <c r="Y14" s="6" t="s">
        <v>174</v>
      </c>
      <c r="Z14" s="6" t="s">
        <v>174</v>
      </c>
      <c r="AA14" s="4" t="s">
        <v>155</v>
      </c>
      <c r="AB14" s="4" t="s">
        <v>168</v>
      </c>
      <c r="AC14" s="4" t="s">
        <v>175</v>
      </c>
      <c r="AD14" s="6" t="s">
        <v>174</v>
      </c>
      <c r="AE14" s="6" t="s">
        <v>45</v>
      </c>
      <c r="AF14" s="6" t="s">
        <v>45</v>
      </c>
      <c r="AG14" s="6" t="s">
        <v>48</v>
      </c>
      <c r="AH14" s="6" t="s">
        <v>48</v>
      </c>
      <c r="AI14" s="6" t="s">
        <v>48</v>
      </c>
      <c r="AJ14" s="6" t="s">
        <v>48</v>
      </c>
      <c r="AK14" s="6" t="s">
        <v>48</v>
      </c>
      <c r="AL14" s="6" t="s">
        <v>48</v>
      </c>
      <c r="AM14" s="6" t="s">
        <v>45</v>
      </c>
      <c r="AN14" s="4" t="s">
        <v>45</v>
      </c>
      <c r="AO14" s="4" t="s">
        <v>48</v>
      </c>
      <c r="AP14" s="4" t="s">
        <v>158</v>
      </c>
      <c r="AQ14" s="4" t="s">
        <v>48</v>
      </c>
      <c r="AR14" s="4" t="s">
        <v>192</v>
      </c>
      <c r="AS14" s="4" t="s">
        <v>142</v>
      </c>
      <c r="AT14" s="4" t="s">
        <v>160</v>
      </c>
      <c r="AU14" s="6" t="s">
        <v>45</v>
      </c>
      <c r="AV14" s="59" t="s">
        <v>138</v>
      </c>
    </row>
    <row r="15" spans="1:48" x14ac:dyDescent="0.25">
      <c r="Q15" t="s">
        <v>151</v>
      </c>
    </row>
    <row r="16" spans="1:48" s="6" customFormat="1" ht="201.6" customHeight="1" x14ac:dyDescent="0.25">
      <c r="A16" s="4" t="s">
        <v>49</v>
      </c>
      <c r="B16" s="6" t="s">
        <v>193</v>
      </c>
      <c r="C16" s="4" t="s">
        <v>50</v>
      </c>
      <c r="G16" s="4" t="s">
        <v>51</v>
      </c>
      <c r="H16" s="4" t="s">
        <v>50</v>
      </c>
      <c r="I16" s="4" t="s">
        <v>50</v>
      </c>
      <c r="L16" s="18" t="s">
        <v>52</v>
      </c>
      <c r="M16" s="4" t="s">
        <v>50</v>
      </c>
      <c r="N16" s="18" t="s">
        <v>53</v>
      </c>
      <c r="O16" s="18" t="s">
        <v>153</v>
      </c>
      <c r="P16" s="18" t="s">
        <v>54</v>
      </c>
      <c r="Q16" s="4" t="s">
        <v>55</v>
      </c>
      <c r="R16" s="4" t="s">
        <v>55</v>
      </c>
      <c r="S16" s="4" t="s">
        <v>56</v>
      </c>
      <c r="T16" s="4" t="s">
        <v>56</v>
      </c>
      <c r="U16" s="4" t="s">
        <v>57</v>
      </c>
      <c r="V16" s="4" t="s">
        <v>57</v>
      </c>
      <c r="W16" s="4" t="s">
        <v>167</v>
      </c>
      <c r="X16" s="4" t="s">
        <v>166</v>
      </c>
      <c r="Y16" s="4" t="s">
        <v>58</v>
      </c>
      <c r="Z16" s="4" t="s">
        <v>59</v>
      </c>
      <c r="AA16" s="4" t="s">
        <v>60</v>
      </c>
      <c r="AB16" s="4" t="s">
        <v>141</v>
      </c>
      <c r="AC16" s="4" t="s">
        <v>61</v>
      </c>
      <c r="AD16" s="4" t="s">
        <v>62</v>
      </c>
      <c r="AE16" s="4" t="s">
        <v>63</v>
      </c>
      <c r="AF16" s="42" t="s">
        <v>64</v>
      </c>
      <c r="AG16" s="4" t="s">
        <v>65</v>
      </c>
      <c r="AH16" s="4" t="s">
        <v>66</v>
      </c>
      <c r="AI16" s="4" t="s">
        <v>67</v>
      </c>
      <c r="AJ16" s="4" t="s">
        <v>68</v>
      </c>
      <c r="AK16" s="4" t="s">
        <v>69</v>
      </c>
      <c r="AL16" s="4" t="s">
        <v>179</v>
      </c>
      <c r="AM16" s="4" t="s">
        <v>178</v>
      </c>
      <c r="AN16" s="4" t="s">
        <v>70</v>
      </c>
      <c r="AO16" s="4" t="s">
        <v>171</v>
      </c>
      <c r="AP16" s="4" t="s">
        <v>169</v>
      </c>
      <c r="AQ16" s="4" t="s">
        <v>170</v>
      </c>
      <c r="AR16" s="4" t="s">
        <v>71</v>
      </c>
      <c r="AS16" s="4" t="s">
        <v>72</v>
      </c>
      <c r="AT16" s="4" t="s">
        <v>73</v>
      </c>
      <c r="AU16" s="59" t="s">
        <v>74</v>
      </c>
    </row>
    <row r="19" spans="1:45" s="6" customFormat="1" ht="14.45" customHeight="1" x14ac:dyDescent="0.25">
      <c r="A19" s="86" t="s">
        <v>75</v>
      </c>
      <c r="B19" s="77" t="s">
        <v>76</v>
      </c>
      <c r="C19" s="80" t="s">
        <v>45</v>
      </c>
      <c r="D19" s="77" t="s">
        <v>77</v>
      </c>
      <c r="E19" s="77" t="s">
        <v>78</v>
      </c>
      <c r="F19" s="77" t="s">
        <v>79</v>
      </c>
      <c r="G19" s="80" t="s">
        <v>45</v>
      </c>
      <c r="H19" s="80" t="s">
        <v>45</v>
      </c>
      <c r="I19" s="80" t="s">
        <v>45</v>
      </c>
      <c r="J19" s="77" t="s">
        <v>80</v>
      </c>
      <c r="K19" s="77" t="s">
        <v>80</v>
      </c>
      <c r="L19" s="77" t="s">
        <v>45</v>
      </c>
      <c r="M19" s="80" t="s">
        <v>45</v>
      </c>
      <c r="N19" s="80" t="s">
        <v>45</v>
      </c>
      <c r="O19" s="66"/>
      <c r="P19" s="80" t="s">
        <v>45</v>
      </c>
      <c r="Q19" s="80" t="s">
        <v>45</v>
      </c>
      <c r="R19" s="80" t="s">
        <v>45</v>
      </c>
      <c r="S19" s="66"/>
      <c r="T19" s="80" t="s">
        <v>45</v>
      </c>
      <c r="U19" s="80" t="s">
        <v>45</v>
      </c>
      <c r="V19" s="80" t="s">
        <v>45</v>
      </c>
      <c r="W19" s="66"/>
      <c r="X19" s="66"/>
      <c r="Y19" s="80"/>
      <c r="Z19" s="80"/>
      <c r="AA19" s="80"/>
      <c r="AB19" s="66"/>
      <c r="AC19" s="80"/>
      <c r="AD19" s="80"/>
      <c r="AE19" s="80"/>
      <c r="AF19" s="43"/>
      <c r="AG19" s="77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77" t="s">
        <v>81</v>
      </c>
      <c r="AS19" s="80"/>
    </row>
    <row r="20" spans="1:45" s="6" customFormat="1" ht="14.45" customHeight="1" x14ac:dyDescent="0.25">
      <c r="A20" s="86"/>
      <c r="B20" s="78" t="s">
        <v>82</v>
      </c>
      <c r="C20" s="81"/>
      <c r="D20" s="78" t="s">
        <v>77</v>
      </c>
      <c r="E20" s="78" t="s">
        <v>78</v>
      </c>
      <c r="F20" s="78" t="s">
        <v>79</v>
      </c>
      <c r="G20" s="81"/>
      <c r="H20" s="81"/>
      <c r="I20" s="81"/>
      <c r="J20" s="78" t="s">
        <v>77</v>
      </c>
      <c r="K20" s="78" t="s">
        <v>77</v>
      </c>
      <c r="L20" s="78" t="s">
        <v>52</v>
      </c>
      <c r="M20" s="81"/>
      <c r="N20" s="81"/>
      <c r="O20" s="67"/>
      <c r="P20" s="81"/>
      <c r="Q20" s="81"/>
      <c r="R20" s="81"/>
      <c r="S20" s="67"/>
      <c r="T20" s="81"/>
      <c r="U20" s="81"/>
      <c r="V20" s="81"/>
      <c r="W20" s="67"/>
      <c r="X20" s="67"/>
      <c r="Y20" s="81"/>
      <c r="Z20" s="81"/>
      <c r="AA20" s="81"/>
      <c r="AB20" s="67"/>
      <c r="AC20" s="81"/>
      <c r="AD20" s="81"/>
      <c r="AE20" s="81"/>
      <c r="AF20" s="44"/>
      <c r="AG20" s="78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78"/>
      <c r="AS20" s="81"/>
    </row>
    <row r="21" spans="1:45" s="6" customFormat="1" ht="14.45" customHeight="1" x14ac:dyDescent="0.25">
      <c r="A21" s="86"/>
      <c r="B21" s="78" t="s">
        <v>82</v>
      </c>
      <c r="C21" s="81"/>
      <c r="D21" s="78" t="s">
        <v>77</v>
      </c>
      <c r="E21" s="78" t="s">
        <v>78</v>
      </c>
      <c r="F21" s="78" t="s">
        <v>79</v>
      </c>
      <c r="G21" s="81"/>
      <c r="H21" s="81"/>
      <c r="I21" s="81"/>
      <c r="J21" s="78" t="s">
        <v>77</v>
      </c>
      <c r="K21" s="78" t="s">
        <v>77</v>
      </c>
      <c r="L21" s="78" t="s">
        <v>52</v>
      </c>
      <c r="M21" s="81"/>
      <c r="N21" s="81"/>
      <c r="O21" s="67"/>
      <c r="P21" s="81"/>
      <c r="Q21" s="81"/>
      <c r="R21" s="81"/>
      <c r="S21" s="67"/>
      <c r="T21" s="81"/>
      <c r="U21" s="81"/>
      <c r="V21" s="81"/>
      <c r="W21" s="67"/>
      <c r="X21" s="67"/>
      <c r="Y21" s="81"/>
      <c r="Z21" s="81"/>
      <c r="AA21" s="81"/>
      <c r="AB21" s="67"/>
      <c r="AC21" s="81"/>
      <c r="AD21" s="81"/>
      <c r="AE21" s="81"/>
      <c r="AF21" s="44"/>
      <c r="AG21" s="78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78"/>
      <c r="AS21" s="81"/>
    </row>
    <row r="22" spans="1:45" s="6" customFormat="1" ht="42.6" customHeight="1" x14ac:dyDescent="0.25">
      <c r="A22" s="86"/>
      <c r="B22" s="78" t="s">
        <v>82</v>
      </c>
      <c r="C22" s="81"/>
      <c r="D22" s="78" t="s">
        <v>77</v>
      </c>
      <c r="E22" s="78" t="s">
        <v>78</v>
      </c>
      <c r="F22" s="78" t="s">
        <v>79</v>
      </c>
      <c r="G22" s="81"/>
      <c r="H22" s="81"/>
      <c r="I22" s="81"/>
      <c r="J22" s="78" t="s">
        <v>77</v>
      </c>
      <c r="K22" s="78" t="s">
        <v>77</v>
      </c>
      <c r="L22" s="78" t="s">
        <v>52</v>
      </c>
      <c r="M22" s="81"/>
      <c r="N22" s="81"/>
      <c r="O22" s="67"/>
      <c r="P22" s="81"/>
      <c r="Q22" s="81"/>
      <c r="R22" s="81"/>
      <c r="S22" s="67"/>
      <c r="T22" s="81"/>
      <c r="U22" s="81"/>
      <c r="V22" s="81"/>
      <c r="W22" s="67"/>
      <c r="X22" s="67"/>
      <c r="Y22" s="81"/>
      <c r="Z22" s="81"/>
      <c r="AA22" s="81"/>
      <c r="AB22" s="67"/>
      <c r="AC22" s="81"/>
      <c r="AD22" s="81"/>
      <c r="AE22" s="81"/>
      <c r="AF22" s="44"/>
      <c r="AG22" s="78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78"/>
      <c r="AS22" s="81"/>
    </row>
    <row r="23" spans="1:45" s="6" customFormat="1" ht="98.45" customHeight="1" x14ac:dyDescent="0.25">
      <c r="A23" s="86"/>
      <c r="B23" s="78" t="s">
        <v>82</v>
      </c>
      <c r="C23" s="81"/>
      <c r="D23" s="78" t="s">
        <v>77</v>
      </c>
      <c r="E23" s="78" t="s">
        <v>78</v>
      </c>
      <c r="F23" s="78" t="s">
        <v>79</v>
      </c>
      <c r="G23" s="82"/>
      <c r="H23" s="82"/>
      <c r="I23" s="82"/>
      <c r="J23" s="79" t="s">
        <v>77</v>
      </c>
      <c r="K23" s="79" t="s">
        <v>77</v>
      </c>
      <c r="L23" s="79" t="s">
        <v>52</v>
      </c>
      <c r="M23" s="82"/>
      <c r="N23" s="82"/>
      <c r="O23" s="68" t="s">
        <v>45</v>
      </c>
      <c r="P23" s="82"/>
      <c r="Q23" s="82"/>
      <c r="R23" s="82"/>
      <c r="S23" s="68" t="s">
        <v>45</v>
      </c>
      <c r="T23" s="82"/>
      <c r="U23" s="82"/>
      <c r="V23" s="82"/>
      <c r="W23" s="68"/>
      <c r="X23" s="68"/>
      <c r="Y23" s="82"/>
      <c r="Z23" s="82"/>
      <c r="AA23" s="82"/>
      <c r="AB23" s="68"/>
      <c r="AC23" s="82"/>
      <c r="AD23" s="82"/>
      <c r="AE23" s="82"/>
      <c r="AF23" s="40"/>
      <c r="AG23" s="79"/>
      <c r="AH23" s="29" t="s">
        <v>180</v>
      </c>
      <c r="AI23" s="29" t="s">
        <v>181</v>
      </c>
      <c r="AJ23" s="29" t="s">
        <v>83</v>
      </c>
      <c r="AK23" s="29" t="s">
        <v>45</v>
      </c>
      <c r="AL23" s="29" t="s">
        <v>45</v>
      </c>
      <c r="AM23" s="29" t="s">
        <v>45</v>
      </c>
      <c r="AN23" s="29" t="s">
        <v>45</v>
      </c>
      <c r="AO23" s="29" t="s">
        <v>45</v>
      </c>
      <c r="AP23" s="29" t="s">
        <v>45</v>
      </c>
      <c r="AQ23" s="29" t="s">
        <v>45</v>
      </c>
      <c r="AR23" s="79"/>
      <c r="AS23" s="82"/>
    </row>
    <row r="24" spans="1:45" ht="14.45" customHeight="1" x14ac:dyDescent="0.25">
      <c r="A24" s="8"/>
      <c r="B24" s="79" t="s">
        <v>82</v>
      </c>
      <c r="C24" s="82"/>
      <c r="D24" s="79" t="s">
        <v>77</v>
      </c>
      <c r="E24" s="79" t="s">
        <v>78</v>
      </c>
      <c r="F24" s="79" t="s">
        <v>79</v>
      </c>
    </row>
    <row r="25" spans="1:45" s="6" customFormat="1" x14ac:dyDescent="0.25">
      <c r="AF25" s="41"/>
    </row>
    <row r="26" spans="1:45" x14ac:dyDescent="0.25">
      <c r="A26" s="30" t="s">
        <v>84</v>
      </c>
      <c r="AR26" s="24" t="s">
        <v>85</v>
      </c>
    </row>
    <row r="27" spans="1:45" s="6" customFormat="1" x14ac:dyDescent="0.25">
      <c r="A27" s="86" t="s">
        <v>86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45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10"/>
    </row>
    <row r="28" spans="1:45" s="6" customFormat="1" x14ac:dyDescent="0.25">
      <c r="A28" s="8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6"/>
    </row>
    <row r="29" spans="1:45" s="6" customFormat="1" ht="170.45" customHeight="1" x14ac:dyDescent="0.25">
      <c r="A29" s="8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  <c r="AG29" s="2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20" t="s">
        <v>87</v>
      </c>
    </row>
    <row r="30" spans="1:45" s="6" customFormat="1" x14ac:dyDescent="0.25">
      <c r="A30" s="8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5"/>
    </row>
    <row r="31" spans="1:45" s="6" customFormat="1" ht="53.45" customHeight="1" x14ac:dyDescent="0.25">
      <c r="A31" s="86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47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5"/>
    </row>
    <row r="32" spans="1:45" x14ac:dyDescent="0.25">
      <c r="A32" s="8"/>
    </row>
    <row r="33" spans="1:48" s="6" customFormat="1" ht="14.45" customHeight="1" x14ac:dyDescent="0.25">
      <c r="A33" s="4" t="s">
        <v>88</v>
      </c>
      <c r="B33" s="6">
        <v>2684</v>
      </c>
      <c r="C33" s="76" t="s">
        <v>45</v>
      </c>
      <c r="D33" s="6">
        <v>854</v>
      </c>
      <c r="E33" s="6">
        <f>1026+567</f>
        <v>1593</v>
      </c>
      <c r="F33" s="6">
        <v>404</v>
      </c>
      <c r="G33" s="6">
        <v>88</v>
      </c>
      <c r="H33" s="76" t="s">
        <v>45</v>
      </c>
      <c r="I33" s="76" t="s">
        <v>45</v>
      </c>
      <c r="J33" s="6">
        <v>612</v>
      </c>
      <c r="K33" s="6">
        <f>2475-612</f>
        <v>1863</v>
      </c>
      <c r="L33" s="6">
        <v>1480</v>
      </c>
      <c r="M33" s="76" t="s">
        <v>45</v>
      </c>
      <c r="N33" s="6">
        <v>111</v>
      </c>
      <c r="O33" s="6">
        <v>58</v>
      </c>
      <c r="P33" s="6">
        <v>325</v>
      </c>
      <c r="Q33" s="6">
        <v>6</v>
      </c>
      <c r="R33" s="6">
        <f>272+129</f>
        <v>401</v>
      </c>
      <c r="S33" s="6">
        <v>22</v>
      </c>
      <c r="T33" s="6">
        <v>0</v>
      </c>
      <c r="U33" s="6">
        <v>0</v>
      </c>
      <c r="V33" s="6">
        <v>11</v>
      </c>
      <c r="W33" s="10">
        <v>21</v>
      </c>
      <c r="X33" s="10">
        <v>220</v>
      </c>
      <c r="Y33" s="77" t="s">
        <v>89</v>
      </c>
      <c r="Z33" s="77" t="s">
        <v>89</v>
      </c>
      <c r="AA33" s="77" t="s">
        <v>89</v>
      </c>
      <c r="AB33" s="77" t="s">
        <v>89</v>
      </c>
      <c r="AC33" s="77" t="s">
        <v>89</v>
      </c>
      <c r="AD33" s="77" t="s">
        <v>89</v>
      </c>
      <c r="AE33" s="77" t="s">
        <v>89</v>
      </c>
      <c r="AF33" s="83" t="s">
        <v>90</v>
      </c>
      <c r="AG33" s="77" t="s">
        <v>89</v>
      </c>
      <c r="AH33" s="77" t="s">
        <v>91</v>
      </c>
      <c r="AI33" s="77" t="s">
        <v>91</v>
      </c>
      <c r="AJ33" s="77" t="s">
        <v>91</v>
      </c>
      <c r="AK33" s="77" t="s">
        <v>92</v>
      </c>
      <c r="AL33" s="77" t="s">
        <v>90</v>
      </c>
      <c r="AM33" s="77" t="s">
        <v>90</v>
      </c>
      <c r="AN33" s="77" t="s">
        <v>90</v>
      </c>
      <c r="AO33" s="77" t="s">
        <v>90</v>
      </c>
      <c r="AP33" s="77" t="s">
        <v>90</v>
      </c>
      <c r="AQ33" s="77" t="s">
        <v>90</v>
      </c>
      <c r="AR33" s="6">
        <v>1664</v>
      </c>
      <c r="AS33" s="6">
        <v>19</v>
      </c>
      <c r="AT33" s="6">
        <v>573</v>
      </c>
    </row>
    <row r="34" spans="1:48" s="6" customFormat="1" x14ac:dyDescent="0.25">
      <c r="A34" s="4" t="s">
        <v>93</v>
      </c>
      <c r="B34" s="6">
        <v>2684</v>
      </c>
      <c r="C34" s="6">
        <v>50</v>
      </c>
      <c r="D34" s="6">
        <v>854</v>
      </c>
      <c r="E34" s="6">
        <f>1026+567</f>
        <v>1593</v>
      </c>
      <c r="F34" s="6">
        <v>404</v>
      </c>
      <c r="G34" s="6">
        <v>88</v>
      </c>
      <c r="H34" s="6">
        <v>3</v>
      </c>
      <c r="I34" s="6">
        <v>20</v>
      </c>
      <c r="J34" s="6">
        <v>612</v>
      </c>
      <c r="K34" s="6">
        <v>1863</v>
      </c>
      <c r="L34" s="6">
        <v>1480</v>
      </c>
      <c r="M34" s="6">
        <v>96</v>
      </c>
      <c r="N34" s="6">
        <v>111</v>
      </c>
      <c r="O34" s="6">
        <v>58</v>
      </c>
      <c r="P34" s="6">
        <v>325</v>
      </c>
      <c r="Q34" s="6">
        <v>6</v>
      </c>
      <c r="R34" s="6">
        <v>401</v>
      </c>
      <c r="S34" s="6">
        <v>22</v>
      </c>
      <c r="T34" s="6">
        <v>0</v>
      </c>
      <c r="U34" s="6">
        <v>0</v>
      </c>
      <c r="V34" s="6">
        <v>11</v>
      </c>
      <c r="W34" s="26">
        <v>21</v>
      </c>
      <c r="X34" s="26">
        <v>220</v>
      </c>
      <c r="Y34" s="78"/>
      <c r="Z34" s="78"/>
      <c r="AA34" s="78"/>
      <c r="AB34" s="78"/>
      <c r="AC34" s="78"/>
      <c r="AD34" s="78"/>
      <c r="AE34" s="78"/>
      <c r="AF34" s="84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6">
        <v>1664</v>
      </c>
      <c r="AS34" s="6">
        <v>19</v>
      </c>
      <c r="AT34" s="6">
        <v>573</v>
      </c>
    </row>
    <row r="35" spans="1:48" s="6" customFormat="1" x14ac:dyDescent="0.25">
      <c r="A35" s="4" t="s">
        <v>94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25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11">
        <v>0</v>
      </c>
      <c r="X35" s="11">
        <v>0</v>
      </c>
      <c r="Y35" s="79"/>
      <c r="Z35" s="79"/>
      <c r="AA35" s="79"/>
      <c r="AB35" s="79"/>
      <c r="AC35" s="79"/>
      <c r="AD35" s="79"/>
      <c r="AE35" s="79"/>
      <c r="AF35" s="85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6">
        <v>0</v>
      </c>
      <c r="AS35" s="6">
        <v>0</v>
      </c>
      <c r="AT35" s="6">
        <v>0</v>
      </c>
    </row>
    <row r="37" spans="1:48" s="6" customFormat="1" ht="50.45" customHeight="1" x14ac:dyDescent="0.25">
      <c r="A37" s="6" t="s">
        <v>95</v>
      </c>
      <c r="B37" s="19" t="s">
        <v>182</v>
      </c>
      <c r="C37" s="19" t="s">
        <v>182</v>
      </c>
      <c r="D37" s="19" t="s">
        <v>182</v>
      </c>
      <c r="E37" s="19" t="s">
        <v>182</v>
      </c>
      <c r="F37" s="19" t="s">
        <v>182</v>
      </c>
      <c r="G37" s="19" t="s">
        <v>182</v>
      </c>
      <c r="H37" s="19" t="s">
        <v>182</v>
      </c>
      <c r="I37" s="19" t="s">
        <v>182</v>
      </c>
      <c r="J37" s="19" t="s">
        <v>182</v>
      </c>
      <c r="K37" s="19" t="s">
        <v>182</v>
      </c>
      <c r="L37" s="19" t="s">
        <v>182</v>
      </c>
      <c r="M37" s="19" t="s">
        <v>182</v>
      </c>
      <c r="N37" s="19" t="s">
        <v>182</v>
      </c>
      <c r="O37" s="19" t="s">
        <v>182</v>
      </c>
      <c r="P37" s="19" t="s">
        <v>182</v>
      </c>
      <c r="Q37" s="19" t="s">
        <v>182</v>
      </c>
      <c r="R37" s="19" t="s">
        <v>182</v>
      </c>
      <c r="S37" s="19" t="s">
        <v>182</v>
      </c>
      <c r="T37" s="19" t="s">
        <v>182</v>
      </c>
      <c r="U37" s="19" t="s">
        <v>182</v>
      </c>
      <c r="V37" s="19" t="s">
        <v>182</v>
      </c>
      <c r="W37" s="19" t="s">
        <v>182</v>
      </c>
      <c r="X37" s="19" t="s">
        <v>182</v>
      </c>
      <c r="Y37" s="19" t="s">
        <v>182</v>
      </c>
      <c r="Z37" s="19" t="s">
        <v>182</v>
      </c>
      <c r="AA37" s="19" t="s">
        <v>182</v>
      </c>
      <c r="AB37" s="19" t="s">
        <v>182</v>
      </c>
      <c r="AC37" s="19" t="s">
        <v>182</v>
      </c>
      <c r="AD37" s="19" t="s">
        <v>182</v>
      </c>
      <c r="AE37" s="19" t="s">
        <v>182</v>
      </c>
      <c r="AF37" s="19" t="s">
        <v>182</v>
      </c>
      <c r="AG37" s="19" t="s">
        <v>182</v>
      </c>
      <c r="AH37" s="19" t="s">
        <v>182</v>
      </c>
      <c r="AI37" s="19" t="s">
        <v>182</v>
      </c>
      <c r="AJ37" s="19" t="s">
        <v>182</v>
      </c>
      <c r="AK37" s="19" t="s">
        <v>182</v>
      </c>
      <c r="AL37" s="19" t="s">
        <v>182</v>
      </c>
      <c r="AM37" s="19" t="s">
        <v>182</v>
      </c>
      <c r="AN37" s="19" t="s">
        <v>182</v>
      </c>
      <c r="AO37" s="19" t="s">
        <v>182</v>
      </c>
      <c r="AP37" s="19" t="s">
        <v>182</v>
      </c>
      <c r="AQ37" s="19" t="s">
        <v>182</v>
      </c>
      <c r="AR37" s="19" t="s">
        <v>182</v>
      </c>
      <c r="AS37" s="19" t="s">
        <v>182</v>
      </c>
      <c r="AT37" s="6" t="s">
        <v>96</v>
      </c>
      <c r="AU37" s="6" t="s">
        <v>182</v>
      </c>
      <c r="AV37" s="6" t="s">
        <v>45</v>
      </c>
    </row>
  </sheetData>
  <mergeCells count="53">
    <mergeCell ref="Y33:Y35"/>
    <mergeCell ref="AM33:AM35"/>
    <mergeCell ref="Q19:Q23"/>
    <mergeCell ref="N19:N23"/>
    <mergeCell ref="T19:T23"/>
    <mergeCell ref="AA33:AA35"/>
    <mergeCell ref="AE33:AE35"/>
    <mergeCell ref="AD33:AD35"/>
    <mergeCell ref="AC33:AC35"/>
    <mergeCell ref="Z33:Z35"/>
    <mergeCell ref="AB33:AB35"/>
    <mergeCell ref="AT2:AV2"/>
    <mergeCell ref="AF2:AK2"/>
    <mergeCell ref="AE19:AE23"/>
    <mergeCell ref="AR2:AS2"/>
    <mergeCell ref="Y2:AE2"/>
    <mergeCell ref="AR19:AR23"/>
    <mergeCell ref="A27:A31"/>
    <mergeCell ref="B19:B24"/>
    <mergeCell ref="C19:C24"/>
    <mergeCell ref="D19:D24"/>
    <mergeCell ref="E19:E24"/>
    <mergeCell ref="A19:A23"/>
    <mergeCell ref="F19:F24"/>
    <mergeCell ref="Y19:Y23"/>
    <mergeCell ref="Z19:Z23"/>
    <mergeCell ref="AA19:AA23"/>
    <mergeCell ref="R19:R23"/>
    <mergeCell ref="G19:G23"/>
    <mergeCell ref="H19:H23"/>
    <mergeCell ref="I19:I23"/>
    <mergeCell ref="M19:M23"/>
    <mergeCell ref="J19:J23"/>
    <mergeCell ref="K19:K23"/>
    <mergeCell ref="L19:L23"/>
    <mergeCell ref="U19:U23"/>
    <mergeCell ref="V19:V23"/>
    <mergeCell ref="P19:P23"/>
    <mergeCell ref="AQ33:AQ35"/>
    <mergeCell ref="AO33:AO35"/>
    <mergeCell ref="AS19:AS23"/>
    <mergeCell ref="AC19:AC23"/>
    <mergeCell ref="AD19:AD23"/>
    <mergeCell ref="AG19:AG23"/>
    <mergeCell ref="AF33:AF35"/>
    <mergeCell ref="AG33:AG35"/>
    <mergeCell ref="AH33:AH35"/>
    <mergeCell ref="AI33:AI35"/>
    <mergeCell ref="AJ33:AJ35"/>
    <mergeCell ref="AK33:AK35"/>
    <mergeCell ref="AP33:AP35"/>
    <mergeCell ref="AN33:AN35"/>
    <mergeCell ref="AL33:AL35"/>
  </mergeCells>
  <pageMargins left="0.25" right="0.25" top="1.25" bottom="0.5" header="0.3" footer="0.3"/>
  <pageSetup scale="51" fitToWidth="0" orientation="portrait" r:id="rId1"/>
  <headerFooter>
    <oddHeader xml:space="preserve">&amp;CBig Sandy Area Development District
FY 2024
KRS 147a.115 Report
</oddHeader>
  </headerFooter>
  <colBreaks count="6" manualBreakCount="6">
    <brk id="11" max="1048575" man="1"/>
    <brk id="16" max="1048575" man="1"/>
    <brk id="24" max="36" man="1"/>
    <brk id="28" max="36" man="1"/>
    <brk id="34" max="36" man="1"/>
    <brk id="43" max="3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3F1C-578C-4BF3-8DC1-C9726707DABD}">
  <dimension ref="A1:E14"/>
  <sheetViews>
    <sheetView workbookViewId="0">
      <selection activeCell="B15" sqref="B15"/>
    </sheetView>
  </sheetViews>
  <sheetFormatPr defaultRowHeight="15" x14ac:dyDescent="0.25"/>
  <cols>
    <col min="1" max="1" width="36.5703125" bestFit="1" customWidth="1"/>
    <col min="3" max="3" width="11.5703125" bestFit="1" customWidth="1"/>
    <col min="5" max="5" width="47.7109375" bestFit="1" customWidth="1"/>
  </cols>
  <sheetData>
    <row r="1" spans="1:5" x14ac:dyDescent="0.25">
      <c r="A1" s="95" t="s">
        <v>127</v>
      </c>
      <c r="B1" s="95"/>
      <c r="C1" s="95"/>
      <c r="D1" s="95"/>
      <c r="E1" s="95"/>
    </row>
    <row r="2" spans="1:5" x14ac:dyDescent="0.25">
      <c r="A2" s="48"/>
      <c r="B2" s="94"/>
      <c r="C2" s="94"/>
      <c r="D2" s="94"/>
      <c r="E2" s="94"/>
    </row>
    <row r="3" spans="1:5" x14ac:dyDescent="0.25">
      <c r="A3" s="49" t="s">
        <v>163</v>
      </c>
      <c r="B3" s="96"/>
      <c r="C3" s="96"/>
      <c r="D3" s="94"/>
      <c r="E3" s="94"/>
    </row>
    <row r="4" spans="1:5" x14ac:dyDescent="0.25">
      <c r="A4" s="48"/>
      <c r="B4" s="94"/>
      <c r="C4" s="94"/>
      <c r="D4" s="94"/>
      <c r="E4" s="94"/>
    </row>
    <row r="5" spans="1:5" x14ac:dyDescent="0.25">
      <c r="A5" s="49" t="s">
        <v>128</v>
      </c>
      <c r="B5" s="49"/>
      <c r="C5" s="49" t="s">
        <v>129</v>
      </c>
      <c r="D5" s="49"/>
      <c r="E5" s="49" t="s">
        <v>130</v>
      </c>
    </row>
    <row r="6" spans="1:5" x14ac:dyDescent="0.25">
      <c r="A6" s="50"/>
      <c r="B6" s="50"/>
      <c r="C6" s="51"/>
      <c r="D6" s="50"/>
      <c r="E6" s="50"/>
    </row>
    <row r="7" spans="1:5" x14ac:dyDescent="0.25">
      <c r="A7" s="50"/>
      <c r="B7" s="50"/>
      <c r="C7" s="52"/>
      <c r="D7" s="50"/>
      <c r="E7" s="53"/>
    </row>
    <row r="8" spans="1:5" ht="30" x14ac:dyDescent="0.25">
      <c r="A8" s="50" t="s">
        <v>131</v>
      </c>
      <c r="B8" s="50"/>
      <c r="C8" s="52">
        <v>45</v>
      </c>
      <c r="D8" s="50"/>
      <c r="E8" s="54" t="s">
        <v>143</v>
      </c>
    </row>
    <row r="9" spans="1:5" ht="47.45" customHeight="1" x14ac:dyDescent="0.25">
      <c r="A9" s="60" t="s">
        <v>132</v>
      </c>
      <c r="B9" s="55"/>
      <c r="C9" s="62">
        <f>575282-45</f>
        <v>575237</v>
      </c>
      <c r="D9" s="55"/>
      <c r="E9" s="64" t="s">
        <v>191</v>
      </c>
    </row>
    <row r="10" spans="1:5" x14ac:dyDescent="0.25">
      <c r="A10" s="61"/>
      <c r="B10" s="56"/>
      <c r="C10" s="63"/>
      <c r="D10" s="56"/>
      <c r="E10" s="65"/>
    </row>
    <row r="11" spans="1:5" x14ac:dyDescent="0.25">
      <c r="A11" s="50"/>
      <c r="B11" s="50"/>
      <c r="C11" s="57"/>
      <c r="D11" s="50"/>
      <c r="E11" s="54"/>
    </row>
    <row r="12" spans="1:5" ht="15.75" thickBot="1" x14ac:dyDescent="0.3">
      <c r="A12" s="48"/>
      <c r="B12" s="48"/>
      <c r="C12" s="58">
        <f>SUM(C7:C11)</f>
        <v>575282</v>
      </c>
      <c r="D12" s="97"/>
      <c r="E12" s="97"/>
    </row>
    <row r="13" spans="1:5" ht="15.75" thickTop="1" x14ac:dyDescent="0.25">
      <c r="A13" s="48"/>
      <c r="B13" s="94"/>
      <c r="C13" s="94"/>
      <c r="D13" s="94"/>
      <c r="E13" s="94"/>
    </row>
    <row r="14" spans="1:5" x14ac:dyDescent="0.25">
      <c r="A14" s="48"/>
      <c r="B14" s="94"/>
      <c r="C14" s="94"/>
      <c r="D14" s="94"/>
      <c r="E14" s="94"/>
    </row>
  </sheetData>
  <mergeCells count="12">
    <mergeCell ref="B14:C14"/>
    <mergeCell ref="D14:E14"/>
    <mergeCell ref="D12:E12"/>
    <mergeCell ref="B13:C13"/>
    <mergeCell ref="D13:E13"/>
    <mergeCell ref="B4:C4"/>
    <mergeCell ref="D4:E4"/>
    <mergeCell ref="A1:E1"/>
    <mergeCell ref="B2:C2"/>
    <mergeCell ref="D2:E2"/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Overall</vt:lpstr>
      <vt:lpstr>Carryover (Reserves)</vt:lpstr>
      <vt:lpstr>Overall!Print_Area</vt:lpstr>
      <vt:lpstr>Overall!Print_Titles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Alisha</dc:creator>
  <cp:keywords/>
  <dc:description/>
  <cp:lastModifiedBy>Coy, Janine (LRC)</cp:lastModifiedBy>
  <cp:revision/>
  <cp:lastPrinted>2024-12-20T17:07:26Z</cp:lastPrinted>
  <dcterms:created xsi:type="dcterms:W3CDTF">2017-11-26T03:23:39Z</dcterms:created>
  <dcterms:modified xsi:type="dcterms:W3CDTF">2025-01-02T13:55:28Z</dcterms:modified>
  <cp:category/>
  <cp:contentStatus/>
</cp:coreProperties>
</file>